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3040" windowHeight="10440" firstSheet="2" activeTab="2"/>
  </bookViews>
  <sheets>
    <sheet name="PRUEBAS ESTANQUEIDAD" sheetId="1" state="hidden" r:id="rId1"/>
    <sheet name="Datos" sheetId="3" state="hidden" r:id="rId2"/>
    <sheet name="Resumen" sheetId="4" r:id="rId3"/>
    <sheet name="Hoja2" sheetId="5" state="hidden" r:id="rId4"/>
    <sheet name="Modificaciones Nueva IP04" sheetId="6" state="hidden" r:id="rId5"/>
  </sheets>
  <definedNames>
    <definedName name="_xlnm.Print_Area" localSheetId="0">'PRUEBAS ESTANQUEIDAD'!$A$1:$K$77</definedName>
    <definedName name="TipoPrueba">Datos!$A$8:$A$12</definedName>
  </definedNames>
  <calcPr calcId="125725" fullPrecision="0"/>
  <fileRecoveryPr autoRecover="0"/>
</workbook>
</file>

<file path=xl/calcChain.xml><?xml version="1.0" encoding="utf-8"?>
<calcChain xmlns="http://schemas.openxmlformats.org/spreadsheetml/2006/main">
  <c r="P15" i="4"/>
  <c r="P16"/>
  <c r="P14"/>
  <c r="F14" l="1"/>
  <c r="B16"/>
  <c r="B15"/>
  <c r="P30"/>
  <c r="P31"/>
  <c r="P32"/>
  <c r="P33"/>
  <c r="F29"/>
  <c r="B30"/>
  <c r="B31"/>
  <c r="B32"/>
  <c r="B33"/>
  <c r="B29"/>
  <c r="B7"/>
  <c r="B8"/>
  <c r="B9"/>
  <c r="B10"/>
  <c r="B6"/>
  <c r="M30" l="1"/>
  <c r="N30"/>
  <c r="M31"/>
  <c r="N31"/>
  <c r="M32"/>
  <c r="N32"/>
  <c r="M33"/>
  <c r="N33"/>
  <c r="N29"/>
  <c r="M29"/>
  <c r="N9"/>
  <c r="N10"/>
  <c r="N7"/>
  <c r="N6"/>
  <c r="P29" l="1"/>
  <c r="P7"/>
  <c r="J7"/>
  <c r="M7" s="1"/>
  <c r="I30" l="1"/>
  <c r="K30" s="1"/>
  <c r="I31"/>
  <c r="K31" s="1"/>
  <c r="I32"/>
  <c r="K32" s="1"/>
  <c r="I33"/>
  <c r="K33" s="1"/>
  <c r="E31" l="1"/>
  <c r="F31"/>
  <c r="E32"/>
  <c r="F32"/>
  <c r="E33"/>
  <c r="F33"/>
  <c r="F30"/>
  <c r="G32" l="1"/>
  <c r="G33"/>
  <c r="G31"/>
  <c r="E30"/>
  <c r="G30" s="1"/>
  <c r="F34"/>
  <c r="M16"/>
  <c r="I29"/>
  <c r="I34" s="1"/>
  <c r="P34"/>
  <c r="N34"/>
  <c r="M34"/>
  <c r="L34"/>
  <c r="E29"/>
  <c r="G29" s="1"/>
  <c r="B34"/>
  <c r="K29" l="1"/>
  <c r="K34" s="1"/>
  <c r="G34"/>
  <c r="E34"/>
  <c r="N17"/>
  <c r="N8"/>
  <c r="J8"/>
  <c r="J9"/>
  <c r="J10"/>
  <c r="J6"/>
  <c r="J11" l="1"/>
  <c r="N11"/>
  <c r="N19" s="1"/>
  <c r="B14"/>
  <c r="E7"/>
  <c r="F7"/>
  <c r="H7"/>
  <c r="I7" s="1"/>
  <c r="E8"/>
  <c r="F8"/>
  <c r="H8"/>
  <c r="I8" s="1"/>
  <c r="K8"/>
  <c r="L8"/>
  <c r="O8"/>
  <c r="P8" s="1"/>
  <c r="E9"/>
  <c r="F9"/>
  <c r="H9"/>
  <c r="I9" s="1"/>
  <c r="K9"/>
  <c r="L9"/>
  <c r="O9"/>
  <c r="P9" s="1"/>
  <c r="E10"/>
  <c r="F10"/>
  <c r="H10"/>
  <c r="I10" s="1"/>
  <c r="K10"/>
  <c r="M10" s="1"/>
  <c r="L10"/>
  <c r="O10"/>
  <c r="P10" s="1"/>
  <c r="G10" l="1"/>
  <c r="G9"/>
  <c r="M9"/>
  <c r="G8"/>
  <c r="M8"/>
  <c r="G7"/>
  <c r="O17"/>
  <c r="J17"/>
  <c r="E17"/>
  <c r="L15"/>
  <c r="M15" s="1"/>
  <c r="F16"/>
  <c r="G16" s="1"/>
  <c r="H16"/>
  <c r="I16" s="1"/>
  <c r="F15"/>
  <c r="G15" s="1"/>
  <c r="H15"/>
  <c r="I15" s="1"/>
  <c r="L14"/>
  <c r="L13" s="1"/>
  <c r="H14"/>
  <c r="B11"/>
  <c r="B17" s="1"/>
  <c r="O6"/>
  <c r="K6"/>
  <c r="H6"/>
  <c r="F6"/>
  <c r="F11" s="1"/>
  <c r="E6"/>
  <c r="E11" s="1"/>
  <c r="E19" s="1"/>
  <c r="I14" l="1"/>
  <c r="H13"/>
  <c r="G14"/>
  <c r="G17" s="1"/>
  <c r="F13"/>
  <c r="M14"/>
  <c r="M17" s="1"/>
  <c r="L17"/>
  <c r="L6"/>
  <c r="L11" s="1"/>
  <c r="I6"/>
  <c r="I11" s="1"/>
  <c r="P6"/>
  <c r="P11" s="1"/>
  <c r="P19" s="1"/>
  <c r="K11"/>
  <c r="J19"/>
  <c r="O11"/>
  <c r="O19" s="1"/>
  <c r="I17"/>
  <c r="H11"/>
  <c r="H17"/>
  <c r="F17"/>
  <c r="F19" s="1"/>
  <c r="G6"/>
  <c r="G11" s="1"/>
  <c r="P9" i="1"/>
  <c r="O9"/>
  <c r="N9"/>
  <c r="L19" i="4" l="1"/>
  <c r="M6"/>
  <c r="M11" s="1"/>
  <c r="M19" s="1"/>
  <c r="I19"/>
  <c r="H19"/>
  <c r="G19"/>
  <c r="D68" i="1"/>
  <c r="K70"/>
  <c r="J70"/>
  <c r="I70"/>
  <c r="H70"/>
  <c r="G70"/>
  <c r="F70"/>
  <c r="E70"/>
  <c r="D70"/>
  <c r="C70"/>
  <c r="K68" l="1"/>
  <c r="J68"/>
  <c r="I68"/>
  <c r="H68"/>
  <c r="G68"/>
  <c r="F68"/>
  <c r="E68"/>
  <c r="C68"/>
  <c r="K67"/>
  <c r="J67"/>
  <c r="I67"/>
  <c r="H67"/>
  <c r="G67"/>
  <c r="F67"/>
  <c r="E67"/>
  <c r="D67"/>
  <c r="C67"/>
  <c r="K63"/>
  <c r="J63"/>
  <c r="I63"/>
  <c r="H63"/>
  <c r="G63"/>
  <c r="F63"/>
  <c r="E63"/>
  <c r="D63"/>
  <c r="C63"/>
  <c r="K64"/>
  <c r="J64"/>
  <c r="I64"/>
  <c r="H64"/>
  <c r="G64"/>
  <c r="F64"/>
  <c r="E64"/>
  <c r="D64"/>
  <c r="C64"/>
  <c r="B64"/>
  <c r="K29"/>
  <c r="J29"/>
  <c r="I29"/>
  <c r="H29"/>
  <c r="G29"/>
  <c r="F29"/>
  <c r="E29"/>
  <c r="D29"/>
  <c r="C29"/>
  <c r="K28"/>
  <c r="J28"/>
  <c r="I28"/>
  <c r="H28"/>
  <c r="G28"/>
  <c r="F28"/>
  <c r="E28"/>
  <c r="D28"/>
  <c r="C28"/>
  <c r="K33"/>
  <c r="J33"/>
  <c r="I33"/>
  <c r="H33"/>
  <c r="G33"/>
  <c r="F33"/>
  <c r="E33"/>
  <c r="D33"/>
  <c r="C33"/>
  <c r="K31"/>
  <c r="J31"/>
  <c r="I31"/>
  <c r="H31"/>
  <c r="G31"/>
  <c r="F31"/>
  <c r="E31"/>
  <c r="D31"/>
  <c r="C31"/>
  <c r="K26"/>
  <c r="J26"/>
  <c r="I26"/>
  <c r="H26"/>
  <c r="G26"/>
  <c r="F26"/>
  <c r="E26"/>
  <c r="D26"/>
  <c r="C26"/>
  <c r="B50"/>
  <c r="B48"/>
  <c r="K14"/>
  <c r="K50" s="1"/>
  <c r="J14"/>
  <c r="J50" s="1"/>
  <c r="I14"/>
  <c r="I50" s="1"/>
  <c r="H14"/>
  <c r="H50" s="1"/>
  <c r="G14"/>
  <c r="G50" s="1"/>
  <c r="F14"/>
  <c r="F50" s="1"/>
  <c r="E14"/>
  <c r="E50" s="1"/>
  <c r="D14"/>
  <c r="D50" s="1"/>
  <c r="C14"/>
  <c r="C50" s="1"/>
  <c r="K48"/>
  <c r="J48"/>
  <c r="I48"/>
  <c r="H48"/>
  <c r="G48"/>
  <c r="F48"/>
  <c r="E48"/>
  <c r="D48"/>
  <c r="C48"/>
</calcChain>
</file>

<file path=xl/sharedStrings.xml><?xml version="1.0" encoding="utf-8"?>
<sst xmlns="http://schemas.openxmlformats.org/spreadsheetml/2006/main" count="309" uniqueCount="192">
  <si>
    <t>PRUEBAS DE ESTANQUEIDAD CON PRODUCTO</t>
  </si>
  <si>
    <t>Certificado de estanqueidad de tanque y tuberías, emitido por Organismo de Control Autorizado.</t>
  </si>
  <si>
    <t>Servicios integrales en</t>
  </si>
  <si>
    <t>instalaciones petroliferas</t>
  </si>
  <si>
    <t>28806 Alcala de Henares (Madrid)</t>
  </si>
  <si>
    <t>Tfno.-902110959 Fax-918822185</t>
  </si>
  <si>
    <t>DESCRIPCION DE PARTIDAS</t>
  </si>
  <si>
    <t>5 m³ o menor</t>
  </si>
  <si>
    <t>7,5 m³</t>
  </si>
  <si>
    <t>10 m³</t>
  </si>
  <si>
    <t>15 m³</t>
  </si>
  <si>
    <t>20 m³</t>
  </si>
  <si>
    <t>25 m³</t>
  </si>
  <si>
    <t>30 m³</t>
  </si>
  <si>
    <t>40 m³</t>
  </si>
  <si>
    <t>50 m³</t>
  </si>
  <si>
    <t>PRUEBAS DE ESTANQUEIDAD SIN PRODUCTO</t>
  </si>
  <si>
    <t>Desmontaje de tapa de boca de hombre y utilización de tapa ciega para ejecución de prueba de estanqueidad. Incluso montaje de tapa de boca de hombre con reposición de tornillería y junta nuevas.</t>
  </si>
  <si>
    <t>Acceso al tanque, desgasificación del mismo hasta eliminación de atmósfera explosiva, extracción del resíduo existente y almacenamiento del mismo en recipientes normalizados para gestión de resíduos líquidos, incluso limpieza de las paredes del tanque con jabones desengrasantes y lanzas a presión.</t>
  </si>
  <si>
    <t>60 m³</t>
  </si>
  <si>
    <t>INERTIZACION DE TANQUES</t>
  </si>
  <si>
    <t>Desmontaje de tapa de boca de hombre y tuberias asociadas.</t>
  </si>
  <si>
    <t>Certificado emitido por Organismo de Control Autorizado de ausencia de atmósfera explosiva.</t>
  </si>
  <si>
    <t>Gestion administrativa, preparacion de documentacion y presentacion ante Delegacion de Industria de la misma para tramitacion de baja de instalacion petrolifera, según IP06.</t>
  </si>
  <si>
    <t>PRUEBA TUBERIAS ENTERRADAS</t>
  </si>
  <si>
    <t>Prueba de estanqueidad realizada por presión en tubería según norma. No incluído certificado OCA. Precio por tubería asociada al tanque de referencia (IMPORTANTE: coste minimo a facturar correspondiente a tres tuberias).</t>
  </si>
  <si>
    <t>Desplazamiento a instalacion cliente.</t>
  </si>
  <si>
    <t>Tarifa Entidad de Inspeccion y Control Industrial por tramitacion de baja de instalacion petrolifera.</t>
  </si>
  <si>
    <t>OPCIONAL EN TANQUES AEREOS</t>
  </si>
  <si>
    <t>Desguace de tanque de productos petroliferos liquidos Y tuberias en zonas vista, mediante equipo de corte de plasma, incluso medios auxiliares necesarios para efectuar los trabajos, ventiladores ATEX, equipo de respiracion, etc, ….. Incluso retirada de chatarra y emision de certificado de recepcion en planta de recuperacion y reciclaje autorizada.</t>
  </si>
  <si>
    <r>
      <rPr>
        <b/>
        <u/>
        <sz val="8"/>
        <rFont val="Arial"/>
        <family val="2"/>
      </rPr>
      <t>OPCION 1 TANQUES ENTERRADOS -</t>
    </r>
    <r>
      <rPr>
        <sz val="8"/>
        <rFont val="Arial"/>
        <family val="2"/>
      </rPr>
      <t xml:space="preserve"> Espuma inerte</t>
    </r>
  </si>
  <si>
    <t>C/Montevideo Nº 5 - Nave 15 (P.I. "Camporroso")</t>
  </si>
  <si>
    <t>Gestión del resíduo en planta; con traslado a planta de residuos, pesaje y emisión de certificado de recepción. Coste hasta 500 kg, resto de pesaje que supere dicha cantidad se facturara a razon de 0,32 €/kg.</t>
  </si>
  <si>
    <t>Desmontaje de tuberias anejas, sellado y taponado de tubuladuras y montaje de manguitos para prueba. Prueba de estanqueidad en tanque enterrado para almacenamiento de combustible mediante sistema DETECTA (homologado ICIM LAB), realizada con producto en el tanque (necesaria tubuladura libre de 2"). Prueba de estanqueidad realizada por presión en tubería asociadas a tanque de referencia.</t>
  </si>
  <si>
    <r>
      <rPr>
        <b/>
        <u/>
        <sz val="8"/>
        <rFont val="Arial"/>
        <family val="2"/>
      </rPr>
      <t>OPCION 1 -</t>
    </r>
    <r>
      <rPr>
        <sz val="8"/>
        <rFont val="Arial"/>
        <family val="2"/>
      </rPr>
      <t xml:space="preserve"> </t>
    </r>
  </si>
  <si>
    <r>
      <rPr>
        <b/>
        <u/>
        <sz val="8"/>
        <rFont val="Arial"/>
        <family val="2"/>
      </rPr>
      <t>OPCION 2 -</t>
    </r>
    <r>
      <rPr>
        <sz val="8"/>
        <rFont val="Arial"/>
        <family val="2"/>
      </rPr>
      <t xml:space="preserve"> </t>
    </r>
  </si>
  <si>
    <t>Certificado de estanqueidad de tanque y tuberías, emitido por Organismo de Control Autorizado + Certificado de inspeccion periodica conformado por Organismo de Control Autorizado.</t>
  </si>
  <si>
    <t>Certificado de estanqueidad de tanque y tuberías, emitido por Organismo de Control Autorizado + Certificado OCA de medicion de espesores.</t>
  </si>
  <si>
    <t>Certificado de estanqueidad de tanque y tuberías, emitido por Organismo de Control Autorizado + Certificado OCA de medicion de espesores + Certificado de inspeccion periodica conformado por Organismo de Control Autorizado.</t>
  </si>
  <si>
    <t>Prueba de estanqueidad en tanque enterrado para almacenamiento de combustible mediante sistema GTEST (homologado ICIM LAB), realizada a tanque limpio, vacio y desgasificado.  Prueba de estanqueidad realizada por presión en tubería asociadas a tanque de referencia.</t>
  </si>
  <si>
    <t>Relleno de tanque para inertizar con espuma de poliuretano inerte de baja densidad, sellado de tuberias asociadas y cegado de arqueta. Realizacion in situ. Densidad aproximada 30-50 kg/m³</t>
  </si>
  <si>
    <r>
      <rPr>
        <b/>
        <u/>
        <sz val="8"/>
        <rFont val="Arial"/>
        <family val="2"/>
      </rPr>
      <t>OPCION 3 TANQUES ENTERRADOS-</t>
    </r>
    <r>
      <rPr>
        <sz val="8"/>
        <rFont val="Arial"/>
        <family val="2"/>
      </rPr>
      <t xml:space="preserve"> Hormigon </t>
    </r>
  </si>
  <si>
    <r>
      <rPr>
        <b/>
        <u/>
        <sz val="8"/>
        <rFont val="Arial"/>
        <family val="2"/>
      </rPr>
      <t>OPCION 2 TANQUES ENTERRADOS-</t>
    </r>
    <r>
      <rPr>
        <sz val="8"/>
        <rFont val="Arial"/>
        <family val="2"/>
      </rPr>
      <t xml:space="preserve"> Hormigon celular</t>
    </r>
  </si>
  <si>
    <t>Relleno de tanque con hormigon  según formulacion IP06, sellado de tuberias asociadas y cegado de arqueta. Relleno de tanque mediante camion hormigonera por gravedad. Densidad aproximada 2600-2400 kg/m³</t>
  </si>
  <si>
    <t>Relleno de tanque con hormigon celular, sellado de tuberias asociadas y cegado de arqueta. Fabricacion in situ. Densidad aproximada 500-400 kg/m³</t>
  </si>
  <si>
    <t>Anual</t>
  </si>
  <si>
    <t>Quinquenal</t>
  </si>
  <si>
    <t>Clear View</t>
  </si>
  <si>
    <t>tanques</t>
  </si>
  <si>
    <t>Cert. Anual</t>
  </si>
  <si>
    <t>Cert. Quinquenal</t>
  </si>
  <si>
    <t>Tanque C.P.</t>
  </si>
  <si>
    <t>Desga/Limp.</t>
  </si>
  <si>
    <t>Pru.Estanq.</t>
  </si>
  <si>
    <t>Gest. Res.</t>
  </si>
  <si>
    <t>Cert./Med.Esp.</t>
  </si>
  <si>
    <t>Tuberias</t>
  </si>
  <si>
    <t>Cert. OCA</t>
  </si>
  <si>
    <t>Exención Sondas</t>
  </si>
  <si>
    <t>Rev. Trienal</t>
  </si>
  <si>
    <t>Mto.</t>
  </si>
  <si>
    <t>Inst.</t>
  </si>
  <si>
    <t>Cuota</t>
  </si>
  <si>
    <t>Con Producto</t>
  </si>
  <si>
    <t>Sin Producto</t>
  </si>
  <si>
    <t>Sondas</t>
  </si>
  <si>
    <t>10 Años</t>
  </si>
  <si>
    <t>5 Años</t>
  </si>
  <si>
    <t>Rev. 5 Años</t>
  </si>
  <si>
    <t>Cadacidad</t>
  </si>
  <si>
    <t>Cantidad</t>
  </si>
  <si>
    <t>Descargas</t>
  </si>
  <si>
    <t>Aspiraciones</t>
  </si>
  <si>
    <t>Impulsiones</t>
  </si>
  <si>
    <t>3 Años</t>
  </si>
  <si>
    <t>TOTALES:</t>
  </si>
  <si>
    <t>COMPARATIVA ENTRE DIFERENTES OPCIONES DE PRUEBAS DE ESTANQUEIDAD:</t>
  </si>
  <si>
    <t>1ª Rev.</t>
  </si>
  <si>
    <t>Instalación Mecánica:</t>
  </si>
  <si>
    <t>Disposición adicional cuarta:</t>
  </si>
  <si>
    <t xml:space="preserve">Las instalaciones  de suministro a vehiculos &gt;5.000 L. </t>
  </si>
  <si>
    <t>Libro de revisiones, pruebas e inspecciones según modelo oficial. Fisico o Electrónico que apruebe la CC.A.</t>
  </si>
  <si>
    <t>Sistemas de verificación de la estanqueidad.</t>
  </si>
  <si>
    <t>Evaluados UNE 53968 IN</t>
  </si>
  <si>
    <t>Sistemas de verificación estanqueidad y detección de fugas instalados.</t>
  </si>
  <si>
    <t>Podrán seguir en servicio o ser instalados en las mismas condiciones que obtuvieron la aprobación.</t>
  </si>
  <si>
    <t>Sistemas detección estática de fugas de tanques por nivel. (Sondas)</t>
  </si>
  <si>
    <t>Comprobaciones según el capítulo XV de la presente ITC MI-IP 04</t>
  </si>
  <si>
    <t>NOTAS NUEVA ITC MI-IP-04</t>
  </si>
  <si>
    <t>Tapa S.P.</t>
  </si>
  <si>
    <t>Revestimiento</t>
  </si>
  <si>
    <t>Cert./Med.Esp.Rev</t>
  </si>
  <si>
    <t>Revestimiento S. P.</t>
  </si>
  <si>
    <t>Revestimiento D.P.</t>
  </si>
  <si>
    <t>Conversión</t>
  </si>
  <si>
    <t>Control Cal.</t>
  </si>
  <si>
    <t>Revestimiento Simple Pared</t>
  </si>
  <si>
    <t>Inversión</t>
  </si>
  <si>
    <t>REVISIONES 
HASTA 2040</t>
  </si>
  <si>
    <t>Conversión Doble Pared</t>
  </si>
  <si>
    <t>REVISION PERIODICA</t>
  </si>
  <si>
    <t>Depositos</t>
  </si>
  <si>
    <t>1ª</t>
  </si>
  <si>
    <t>Sucesivas</t>
  </si>
  <si>
    <t>CEI</t>
  </si>
  <si>
    <t>Con Producto Anual</t>
  </si>
  <si>
    <t>Sondas 3 años</t>
  </si>
  <si>
    <t>Sondas Anual</t>
  </si>
  <si>
    <r>
      <t xml:space="preserve">Exento  </t>
    </r>
    <r>
      <rPr>
        <sz val="14"/>
        <rFont val="Calibri"/>
        <family val="2"/>
      </rPr>
      <t>→</t>
    </r>
  </si>
  <si>
    <t>REVISIONES E INSPECCIONES PERIODICAS</t>
  </si>
  <si>
    <t>Revisión de la instalación petrolifera de superficie y enterrada</t>
  </si>
  <si>
    <t>Tipo instalación</t>
  </si>
  <si>
    <t>MI-IP04 Actual</t>
  </si>
  <si>
    <t>MI-IP 04 2017</t>
  </si>
  <si>
    <t>Inspección de las instalaciones</t>
  </si>
  <si>
    <t>Revisiones y pruebas adicionales para instalaciones enterradas</t>
  </si>
  <si>
    <t>Pruebas posteriores a tanque con producto</t>
  </si>
  <si>
    <t>Prebas posteriores a tanque vacio, limpio, desgasificación y medición de espesores</t>
  </si>
  <si>
    <t>Prueba de estanqueidad después de la reparación del deposito</t>
  </si>
  <si>
    <t>TUBERIAS</t>
  </si>
  <si>
    <t>Prueba de estanqueidad</t>
  </si>
  <si>
    <t>Pruebas posteriores de estanqueidad a tuberías</t>
  </si>
  <si>
    <t>Sin Proyecto</t>
  </si>
  <si>
    <t>Con Proyecto</t>
  </si>
  <si>
    <t>Cada 10 años</t>
  </si>
  <si>
    <t>Cada 5 años</t>
  </si>
  <si>
    <t>Exento</t>
  </si>
  <si>
    <t>1ª a los 10 años</t>
  </si>
  <si>
    <t>Cada año</t>
  </si>
  <si>
    <t>10 años</t>
  </si>
  <si>
    <t>Simple pared</t>
  </si>
  <si>
    <t>Doble pared</t>
  </si>
  <si>
    <t>Únicamente revisión anual Detector de fugas</t>
  </si>
  <si>
    <t>Libro de revisiones, pruebas e inspecciones</t>
  </si>
  <si>
    <t>Fisico o electrónico según C.A.</t>
  </si>
  <si>
    <t>Obligatorio</t>
  </si>
  <si>
    <t>Repercusión</t>
  </si>
  <si>
    <t>TANQUES</t>
  </si>
  <si>
    <t>Tanques de simple pared</t>
  </si>
  <si>
    <r>
      <t>&gt; 3.000 m</t>
    </r>
    <r>
      <rPr>
        <vertAlign val="superscript"/>
        <sz val="10"/>
        <rFont val="Arial"/>
        <family val="2"/>
      </rPr>
      <t>3</t>
    </r>
  </si>
  <si>
    <t>Comversión a doble pared, y detector de fugas aprobado UNE 53968 o UN 13160.</t>
  </si>
  <si>
    <t>Plazos</t>
  </si>
  <si>
    <t>&gt; 40 años: 3 años</t>
  </si>
  <si>
    <t>&gt; 30 años: 5 años</t>
  </si>
  <si>
    <t>&gt; 20 años: 7 años</t>
  </si>
  <si>
    <t>Resto: 9 años</t>
  </si>
  <si>
    <r>
      <t>&lt; 3.000 m</t>
    </r>
    <r>
      <rPr>
        <vertAlign val="superscript"/>
        <sz val="10"/>
        <rFont val="Arial"/>
        <family val="2"/>
      </rPr>
      <t>3</t>
    </r>
  </si>
  <si>
    <t>Sistema detección de fugas</t>
  </si>
  <si>
    <t>Calibración</t>
  </si>
  <si>
    <t>Cambio o conversión a doble pared.</t>
  </si>
  <si>
    <t>Sondas aprobación UNE 53968 o UN 13160</t>
  </si>
  <si>
    <t>Hasta 01/01/2040</t>
  </si>
  <si>
    <t>Impulsión Simple pared</t>
  </si>
  <si>
    <t>Sustitución por Doble pared.</t>
  </si>
  <si>
    <t>Sistema Electronico de Fugas</t>
  </si>
  <si>
    <t>Aspiración</t>
  </si>
  <si>
    <t>Hasta 3 años</t>
  </si>
  <si>
    <t>Instalación valvula bajo surtidor</t>
  </si>
  <si>
    <t>1ª Fase</t>
  </si>
  <si>
    <t>2ª Fase</t>
  </si>
  <si>
    <t>Anulación válvulas  de escuadra en el tanque</t>
  </si>
  <si>
    <t>Venteos</t>
  </si>
  <si>
    <t>Colectores con Valvula de flotador</t>
  </si>
  <si>
    <t>Fase II</t>
  </si>
  <si>
    <t>R.D: 2102/1996</t>
  </si>
  <si>
    <t>Nuevas Estaciones de Servicio</t>
  </si>
  <si>
    <t>Existentes</t>
  </si>
  <si>
    <t>Salidas &gt; 1.000 m3</t>
  </si>
  <si>
    <t>Existentes en zona urbana</t>
  </si>
  <si>
    <t>Salidas &gt; 500 m3</t>
  </si>
  <si>
    <t>Resto</t>
  </si>
  <si>
    <t>Nuevas doble pared</t>
  </si>
  <si>
    <t>Detección electronica de fugas, 12 l/h, 0,8 l/h y 0,4 l/h.</t>
  </si>
  <si>
    <t>Medición</t>
  </si>
  <si>
    <t>Tapón con obturación</t>
  </si>
  <si>
    <t>Impedir la salida de gases.</t>
  </si>
  <si>
    <t>Varilla</t>
  </si>
  <si>
    <t>Material anti chispas</t>
  </si>
  <si>
    <t>Reparación</t>
  </si>
  <si>
    <t>Recubrir en su totalidad</t>
  </si>
  <si>
    <t>Sistema autorizado UNE 53991 IN</t>
  </si>
  <si>
    <t>Solamente empresas autorizadas</t>
  </si>
  <si>
    <t>Según ITC MI-IP 05</t>
  </si>
  <si>
    <t>Certificación por OCA</t>
  </si>
  <si>
    <t>Transformación a Doble Pared</t>
  </si>
  <si>
    <t>Según UNE 62422 o UNE 53935</t>
  </si>
  <si>
    <t>No tendrán que realizar pruebas periodicas de estanqueidad</t>
  </si>
  <si>
    <t>Tuberías</t>
  </si>
  <si>
    <t>Opción P.E.</t>
  </si>
  <si>
    <t>Conversión doble Pared en 2 Fases</t>
  </si>
  <si>
    <t>TANQUES EXISTENTES DE SIMPLE PARED:</t>
  </si>
  <si>
    <t>C.E.I.</t>
  </si>
</sst>
</file>

<file path=xl/styles.xml><?xml version="1.0" encoding="utf-8"?>
<styleSheet xmlns="http://schemas.openxmlformats.org/spreadsheetml/2006/main">
  <numFmts count="1">
    <numFmt numFmtId="164" formatCode="#,##0.00\ &quot;€&quot;"/>
  </numFmts>
  <fonts count="29">
    <font>
      <sz val="10"/>
      <name val="Arial"/>
    </font>
    <font>
      <b/>
      <sz val="10"/>
      <name val="Arial"/>
      <family val="2"/>
    </font>
    <font>
      <sz val="8"/>
      <name val="Arial"/>
      <family val="2"/>
    </font>
    <font>
      <b/>
      <sz val="8"/>
      <name val="Arial"/>
      <family val="2"/>
    </font>
    <font>
      <b/>
      <sz val="14"/>
      <name val="Arial"/>
      <family val="2"/>
    </font>
    <font>
      <b/>
      <sz val="8"/>
      <name val="Arial"/>
      <family val="2"/>
    </font>
    <font>
      <b/>
      <u/>
      <sz val="10"/>
      <name val="Arial"/>
      <family val="2"/>
    </font>
    <font>
      <sz val="12"/>
      <color indexed="10"/>
      <name val="Bauhaus 93"/>
      <family val="5"/>
    </font>
    <font>
      <sz val="12"/>
      <color rgb="FFCC0000"/>
      <name val="Bauhaus 93"/>
      <family val="5"/>
    </font>
    <font>
      <b/>
      <u/>
      <sz val="8"/>
      <name val="Arial"/>
      <family val="2"/>
    </font>
    <font>
      <sz val="8"/>
      <color rgb="FFFF0000"/>
      <name val="Arial"/>
      <family val="2"/>
    </font>
    <font>
      <b/>
      <sz val="16"/>
      <name val="Arial"/>
      <family val="2"/>
    </font>
    <font>
      <b/>
      <sz val="12"/>
      <name val="Arial"/>
      <family val="2"/>
    </font>
    <font>
      <i/>
      <sz val="10"/>
      <name val="Arial"/>
      <family val="2"/>
    </font>
    <font>
      <sz val="10"/>
      <name val="Arial"/>
      <family val="2"/>
    </font>
    <font>
      <sz val="18"/>
      <color rgb="FFFF0000"/>
      <name val="Arial"/>
      <family val="2"/>
    </font>
    <font>
      <b/>
      <sz val="12"/>
      <color rgb="FF7030A0"/>
      <name val="Arial"/>
      <family val="2"/>
    </font>
    <font>
      <sz val="12"/>
      <name val="Arial"/>
      <family val="2"/>
    </font>
    <font>
      <b/>
      <sz val="12"/>
      <color theme="0"/>
      <name val="Arial"/>
      <family val="2"/>
    </font>
    <font>
      <sz val="10"/>
      <color theme="0"/>
      <name val="Arial"/>
      <family val="2"/>
    </font>
    <font>
      <b/>
      <sz val="10"/>
      <color theme="0"/>
      <name val="Arial"/>
      <family val="2"/>
    </font>
    <font>
      <sz val="12"/>
      <color theme="0"/>
      <name val="Arial"/>
      <family val="2"/>
    </font>
    <font>
      <b/>
      <sz val="11"/>
      <name val="Arial"/>
      <family val="2"/>
    </font>
    <font>
      <b/>
      <sz val="11"/>
      <color theme="0"/>
      <name val="Arial"/>
      <family val="2"/>
    </font>
    <font>
      <b/>
      <i/>
      <sz val="10"/>
      <name val="Arial"/>
      <family val="2"/>
    </font>
    <font>
      <sz val="14"/>
      <name val="Calibri"/>
      <family val="2"/>
    </font>
    <font>
      <vertAlign val="superscript"/>
      <sz val="10"/>
      <name val="Arial"/>
      <family val="2"/>
    </font>
    <font>
      <b/>
      <sz val="9"/>
      <name val="Arial"/>
      <family val="2"/>
    </font>
    <font>
      <b/>
      <sz val="8"/>
      <color theme="0"/>
      <name val="Arial"/>
      <family val="2"/>
    </font>
  </fonts>
  <fills count="12">
    <fill>
      <patternFill patternType="none"/>
    </fill>
    <fill>
      <patternFill patternType="gray125"/>
    </fill>
    <fill>
      <patternFill patternType="solid">
        <fgColor indexed="44"/>
        <bgColor indexed="64"/>
      </patternFill>
    </fill>
    <fill>
      <patternFill patternType="solid">
        <fgColor theme="4"/>
        <bgColor indexed="64"/>
      </patternFill>
    </fill>
    <fill>
      <patternFill patternType="solid">
        <fgColor rgb="FFFFC000"/>
        <bgColor indexed="64"/>
      </patternFill>
    </fill>
    <fill>
      <patternFill patternType="solid">
        <fgColor theme="3" tint="-0.249977111117893"/>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rgb="FFFF0000"/>
        <bgColor indexed="64"/>
      </patternFill>
    </fill>
    <fill>
      <patternFill patternType="solid">
        <fgColor theme="2" tint="-0.249977111117893"/>
        <bgColor indexed="64"/>
      </patternFill>
    </fill>
    <fill>
      <patternFill patternType="solid">
        <fgColor theme="4" tint="0.39997558519241921"/>
        <bgColor indexed="64"/>
      </patternFill>
    </fill>
    <fill>
      <patternFill patternType="solid">
        <fgColor theme="0" tint="-0.3499862666707357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ck">
        <color auto="1"/>
      </left>
      <right style="medium">
        <color auto="1"/>
      </right>
      <top style="thick">
        <color auto="1"/>
      </top>
      <bottom style="thick">
        <color auto="1"/>
      </bottom>
      <diagonal/>
    </border>
    <border>
      <left style="medium">
        <color auto="1"/>
      </left>
      <right style="medium">
        <color auto="1"/>
      </right>
      <top style="thick">
        <color auto="1"/>
      </top>
      <bottom style="thick">
        <color auto="1"/>
      </bottom>
      <diagonal/>
    </border>
    <border>
      <left style="thin">
        <color auto="1"/>
      </left>
      <right style="thin">
        <color auto="1"/>
      </right>
      <top style="thick">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ck">
        <color auto="1"/>
      </top>
      <bottom/>
      <diagonal/>
    </border>
    <border>
      <left style="medium">
        <color auto="1"/>
      </left>
      <right style="medium">
        <color auto="1"/>
      </right>
      <top/>
      <bottom/>
      <diagonal/>
    </border>
    <border>
      <left style="thin">
        <color theme="0" tint="-0.14996795556505021"/>
      </left>
      <right style="thin">
        <color theme="0" tint="-0.14996795556505021"/>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3" tint="0.79998168889431442"/>
      </left>
      <right/>
      <top style="thin">
        <color theme="3" tint="0.79998168889431442"/>
      </top>
      <bottom style="thin">
        <color auto="1"/>
      </bottom>
      <diagonal/>
    </border>
    <border>
      <left/>
      <right/>
      <top style="thin">
        <color theme="3" tint="0.79998168889431442"/>
      </top>
      <bottom style="thin">
        <color auto="1"/>
      </bottom>
      <diagonal/>
    </border>
    <border>
      <left/>
      <right style="thin">
        <color auto="1"/>
      </right>
      <top style="thin">
        <color theme="3" tint="0.79998168889431442"/>
      </top>
      <bottom style="thin">
        <color auto="1"/>
      </bottom>
      <diagonal/>
    </border>
    <border>
      <left/>
      <right/>
      <top/>
      <bottom style="thin">
        <color theme="0"/>
      </bottom>
      <diagonal/>
    </border>
    <border>
      <left style="thin">
        <color theme="0"/>
      </left>
      <right style="thin">
        <color theme="0"/>
      </right>
      <top/>
      <bottom/>
      <diagonal/>
    </border>
    <border>
      <left style="thin">
        <color theme="0" tint="-0.14996795556505021"/>
      </left>
      <right style="thin">
        <color theme="0"/>
      </right>
      <top/>
      <bottom/>
      <diagonal/>
    </border>
    <border>
      <left style="thin">
        <color theme="0" tint="-0.14996795556505021"/>
      </left>
      <right style="thin">
        <color theme="0" tint="-0.14996795556505021"/>
      </right>
      <top style="thin">
        <color theme="0"/>
      </top>
      <bottom style="thin">
        <color theme="0" tint="-0.14993743705557422"/>
      </bottom>
      <diagonal/>
    </border>
    <border>
      <left/>
      <right style="thin">
        <color theme="0" tint="-0.14996795556505021"/>
      </right>
      <top style="thin">
        <color theme="0"/>
      </top>
      <bottom style="thin">
        <color theme="0"/>
      </bottom>
      <diagonal/>
    </border>
    <border>
      <left style="thin">
        <color theme="0"/>
      </left>
      <right style="thin">
        <color auto="1"/>
      </right>
      <top style="thin">
        <color theme="0"/>
      </top>
      <bottom/>
      <diagonal/>
    </border>
    <border>
      <left style="thin">
        <color theme="1"/>
      </left>
      <right style="thin">
        <color theme="0"/>
      </right>
      <top style="thin">
        <color theme="0"/>
      </top>
      <bottom style="thin">
        <color theme="0"/>
      </bottom>
      <diagonal/>
    </border>
    <border>
      <left style="thin">
        <color theme="0" tint="-0.14996795556505021"/>
      </left>
      <right/>
      <top/>
      <bottom/>
      <diagonal/>
    </border>
    <border>
      <left style="thin">
        <color theme="0"/>
      </left>
      <right style="thin">
        <color theme="0" tint="-0.14996795556505021"/>
      </right>
      <top style="thin">
        <color theme="0"/>
      </top>
      <bottom style="thin">
        <color theme="0"/>
      </bottom>
      <diagonal/>
    </border>
    <border>
      <left style="thin">
        <color theme="0" tint="-0.14996795556505021"/>
      </left>
      <right style="thin">
        <color theme="0" tint="-0.14996795556505021"/>
      </right>
      <top style="thin">
        <color theme="0"/>
      </top>
      <bottom style="thin">
        <color theme="0"/>
      </bottom>
      <diagonal/>
    </border>
    <border>
      <left style="thin">
        <color theme="0" tint="-0.14996795556505021"/>
      </left>
      <right style="thin">
        <color theme="0" tint="-0.14996795556505021"/>
      </right>
      <top/>
      <bottom style="thin">
        <color theme="0"/>
      </bottom>
      <diagonal/>
    </border>
  </borders>
  <cellStyleXfs count="1">
    <xf numFmtId="0" fontId="0" fillId="0" borderId="0"/>
  </cellStyleXfs>
  <cellXfs count="158">
    <xf numFmtId="0" fontId="0" fillId="0" borderId="0" xfId="0"/>
    <xf numFmtId="0" fontId="1" fillId="0" borderId="0" xfId="0" applyFont="1"/>
    <xf numFmtId="0" fontId="4" fillId="0" borderId="0" xfId="0" applyFont="1" applyAlignment="1">
      <alignment vertical="top"/>
    </xf>
    <xf numFmtId="0" fontId="0" fillId="0" borderId="0" xfId="0" applyBorder="1"/>
    <xf numFmtId="0" fontId="1" fillId="0" borderId="0" xfId="0" applyFont="1" applyBorder="1"/>
    <xf numFmtId="0" fontId="2" fillId="0" borderId="0" xfId="0" applyFont="1" applyBorder="1" applyAlignment="1">
      <alignment horizontal="right"/>
    </xf>
    <xf numFmtId="0" fontId="2" fillId="0" borderId="0" xfId="0" applyFont="1" applyAlignment="1">
      <alignment horizontal="left"/>
    </xf>
    <xf numFmtId="0" fontId="7" fillId="0" borderId="0" xfId="0" applyFont="1"/>
    <xf numFmtId="0" fontId="1" fillId="0" borderId="0" xfId="0" applyFont="1" applyAlignment="1">
      <alignment horizontal="center"/>
    </xf>
    <xf numFmtId="0" fontId="1" fillId="0" borderId="0" xfId="0" applyFont="1" applyBorder="1" applyAlignment="1">
      <alignment horizontal="left"/>
    </xf>
    <xf numFmtId="0" fontId="7" fillId="0" borderId="0" xfId="0" applyFont="1" applyBorder="1" applyAlignment="1">
      <alignment horizontal="left"/>
    </xf>
    <xf numFmtId="49" fontId="3" fillId="3" borderId="0" xfId="0" applyNumberFormat="1" applyFont="1" applyFill="1" applyAlignment="1">
      <alignment vertical="top"/>
    </xf>
    <xf numFmtId="49" fontId="11" fillId="3" borderId="0" xfId="0" applyNumberFormat="1" applyFont="1" applyFill="1" applyAlignment="1">
      <alignment vertical="top"/>
    </xf>
    <xf numFmtId="3" fontId="3" fillId="3" borderId="0" xfId="0" applyNumberFormat="1" applyFont="1" applyFill="1" applyAlignment="1">
      <alignment vertical="top"/>
    </xf>
    <xf numFmtId="4" fontId="3" fillId="3" borderId="0" xfId="0" applyNumberFormat="1" applyFont="1" applyFill="1" applyAlignment="1">
      <alignment vertical="top"/>
    </xf>
    <xf numFmtId="0" fontId="0" fillId="3" borderId="0" xfId="0" applyFill="1"/>
    <xf numFmtId="0" fontId="0" fillId="0" borderId="0" xfId="0" applyFill="1"/>
    <xf numFmtId="0" fontId="0" fillId="0" borderId="0" xfId="0" applyFill="1" applyBorder="1"/>
    <xf numFmtId="0" fontId="6" fillId="0" borderId="0" xfId="0" applyFont="1" applyFill="1" applyBorder="1" applyAlignment="1">
      <alignment horizontal="left"/>
    </xf>
    <xf numFmtId="4" fontId="0" fillId="0" borderId="0" xfId="0" applyNumberFormat="1" applyFill="1" applyBorder="1"/>
    <xf numFmtId="0" fontId="2" fillId="0" borderId="0" xfId="0" applyFont="1" applyFill="1" applyBorder="1"/>
    <xf numFmtId="49" fontId="5" fillId="0" borderId="0" xfId="0" applyNumberFormat="1" applyFont="1" applyFill="1" applyBorder="1"/>
    <xf numFmtId="0" fontId="10" fillId="0" borderId="0" xfId="0" applyFont="1" applyBorder="1" applyAlignment="1">
      <alignment vertical="top" wrapText="1"/>
    </xf>
    <xf numFmtId="49" fontId="12" fillId="2" borderId="2" xfId="0" applyNumberFormat="1" applyFont="1" applyFill="1" applyBorder="1" applyAlignment="1">
      <alignment horizontal="center" vertical="center" wrapText="1"/>
    </xf>
    <xf numFmtId="49" fontId="1" fillId="4" borderId="3" xfId="0" applyNumberFormat="1" applyFont="1" applyFill="1" applyBorder="1" applyAlignment="1">
      <alignment horizontal="center" vertical="center" wrapText="1"/>
    </xf>
    <xf numFmtId="49" fontId="1" fillId="4" borderId="3" xfId="0" applyNumberFormat="1" applyFont="1" applyFill="1" applyBorder="1" applyAlignment="1">
      <alignment horizontal="center" vertical="center"/>
    </xf>
    <xf numFmtId="0" fontId="8" fillId="0" borderId="0" xfId="0" applyFont="1" applyBorder="1" applyAlignment="1">
      <alignment horizontal="left"/>
    </xf>
    <xf numFmtId="0" fontId="3" fillId="0" borderId="0" xfId="0" applyFont="1" applyBorder="1" applyAlignment="1">
      <alignment horizontal="center"/>
    </xf>
    <xf numFmtId="0" fontId="3" fillId="0" borderId="0" xfId="0" applyFont="1" applyBorder="1" applyAlignment="1">
      <alignment horizontal="center" vertical="center"/>
    </xf>
    <xf numFmtId="0" fontId="3" fillId="0" borderId="0" xfId="0" applyFont="1" applyBorder="1" applyAlignment="1">
      <alignment horizontal="center" vertical="top"/>
    </xf>
    <xf numFmtId="49" fontId="11" fillId="3" borderId="0" xfId="0" applyNumberFormat="1" applyFont="1" applyFill="1" applyAlignment="1">
      <alignment horizontal="center" vertical="center"/>
    </xf>
    <xf numFmtId="0" fontId="2" fillId="0" borderId="4" xfId="0" applyFont="1" applyBorder="1" applyAlignment="1">
      <alignment horizontal="justify" vertical="top" wrapText="1"/>
    </xf>
    <xf numFmtId="0" fontId="2" fillId="0" borderId="1" xfId="0" applyFont="1" applyBorder="1" applyAlignment="1">
      <alignment horizontal="justify" vertical="top" wrapText="1"/>
    </xf>
    <xf numFmtId="49" fontId="2" fillId="0" borderId="5" xfId="0" applyNumberFormat="1" applyFont="1" applyBorder="1" applyAlignment="1">
      <alignment vertical="top" wrapText="1"/>
    </xf>
    <xf numFmtId="0" fontId="2" fillId="0" borderId="6" xfId="0" applyFont="1" applyBorder="1" applyAlignment="1">
      <alignment vertical="top" wrapText="1"/>
    </xf>
    <xf numFmtId="49" fontId="13" fillId="0" borderId="5" xfId="0" applyNumberFormat="1" applyFont="1" applyFill="1" applyBorder="1" applyAlignment="1">
      <alignment vertical="top"/>
    </xf>
    <xf numFmtId="49" fontId="13" fillId="0" borderId="5" xfId="0" applyNumberFormat="1" applyFont="1" applyFill="1" applyBorder="1" applyAlignment="1">
      <alignment horizontal="center" vertical="center"/>
    </xf>
    <xf numFmtId="4" fontId="13" fillId="0" borderId="5" xfId="0" applyNumberFormat="1" applyFont="1" applyFill="1" applyBorder="1" applyAlignment="1">
      <alignment horizontal="center" vertical="center"/>
    </xf>
    <xf numFmtId="0" fontId="13" fillId="0" borderId="5" xfId="0" applyFont="1" applyBorder="1" applyAlignment="1">
      <alignment horizontal="center" vertical="center"/>
    </xf>
    <xf numFmtId="2" fontId="13" fillId="0" borderId="7" xfId="0" applyNumberFormat="1" applyFont="1" applyFill="1" applyBorder="1" applyAlignment="1">
      <alignment horizontal="center" vertical="center"/>
    </xf>
    <xf numFmtId="2" fontId="13" fillId="0" borderId="1" xfId="0" applyNumberFormat="1" applyFont="1" applyFill="1" applyBorder="1" applyAlignment="1">
      <alignment horizontal="center" vertical="center"/>
    </xf>
    <xf numFmtId="2" fontId="13" fillId="0" borderId="6" xfId="0" applyNumberFormat="1" applyFont="1" applyFill="1" applyBorder="1" applyAlignment="1">
      <alignment horizontal="center" vertical="top"/>
    </xf>
    <xf numFmtId="0" fontId="2" fillId="0" borderId="7" xfId="0" applyFont="1" applyBorder="1" applyAlignment="1">
      <alignment horizontal="justify" vertical="top" wrapText="1"/>
    </xf>
    <xf numFmtId="2" fontId="13" fillId="0" borderId="1" xfId="0" applyNumberFormat="1" applyFont="1" applyBorder="1" applyAlignment="1">
      <alignment horizontal="center" vertical="center"/>
    </xf>
    <xf numFmtId="2" fontId="13" fillId="0" borderId="0" xfId="0" applyNumberFormat="1" applyFont="1" applyFill="1" applyBorder="1" applyAlignment="1">
      <alignment horizontal="center" vertical="center"/>
    </xf>
    <xf numFmtId="0" fontId="14" fillId="0" borderId="0" xfId="0" applyFont="1"/>
    <xf numFmtId="2" fontId="0" fillId="0" borderId="0" xfId="0" applyNumberFormat="1"/>
    <xf numFmtId="2" fontId="13" fillId="0" borderId="0" xfId="0" applyNumberFormat="1" applyFont="1" applyFill="1" applyBorder="1" applyAlignment="1">
      <alignment horizontal="right"/>
    </xf>
    <xf numFmtId="0" fontId="2" fillId="0" borderId="1" xfId="0" applyFont="1" applyBorder="1" applyAlignment="1">
      <alignment horizontal="left" vertical="center" wrapText="1"/>
    </xf>
    <xf numFmtId="0" fontId="15" fillId="0" borderId="0" xfId="0" applyFont="1"/>
    <xf numFmtId="49" fontId="9" fillId="0" borderId="5" xfId="0" applyNumberFormat="1" applyFont="1" applyBorder="1" applyAlignment="1">
      <alignment vertical="top" wrapText="1"/>
    </xf>
    <xf numFmtId="0" fontId="2" fillId="0" borderId="6" xfId="0" applyFont="1" applyBorder="1" applyAlignment="1">
      <alignment horizontal="justify" vertical="top" wrapText="1"/>
    </xf>
    <xf numFmtId="2" fontId="13" fillId="0" borderId="6" xfId="0" applyNumberFormat="1" applyFont="1" applyFill="1" applyBorder="1" applyAlignment="1">
      <alignment horizontal="center" vertical="center"/>
    </xf>
    <xf numFmtId="0" fontId="16" fillId="0" borderId="0" xfId="0" applyFont="1"/>
    <xf numFmtId="2" fontId="13" fillId="0" borderId="6" xfId="0" applyNumberFormat="1" applyFont="1" applyBorder="1" applyAlignment="1">
      <alignment horizontal="center" vertical="top"/>
    </xf>
    <xf numFmtId="49" fontId="0" fillId="0" borderId="0" xfId="0" applyNumberFormat="1"/>
    <xf numFmtId="49" fontId="1" fillId="4" borderId="8" xfId="0" applyNumberFormat="1" applyFont="1" applyFill="1" applyBorder="1" applyAlignment="1">
      <alignment horizontal="center" vertical="center"/>
    </xf>
    <xf numFmtId="0" fontId="14" fillId="0" borderId="0" xfId="0" applyFont="1" applyFill="1" applyBorder="1"/>
    <xf numFmtId="0" fontId="17" fillId="0" borderId="0" xfId="0" applyFont="1"/>
    <xf numFmtId="0" fontId="12" fillId="0" borderId="0" xfId="0" applyFont="1"/>
    <xf numFmtId="0" fontId="19" fillId="5" borderId="0" xfId="0" applyFont="1" applyFill="1" applyAlignment="1">
      <alignment horizontal="center"/>
    </xf>
    <xf numFmtId="0" fontId="19" fillId="5" borderId="0" xfId="0" applyFont="1" applyFill="1"/>
    <xf numFmtId="0" fontId="18" fillId="5" borderId="0" xfId="0" applyFont="1" applyFill="1"/>
    <xf numFmtId="0" fontId="19" fillId="5" borderId="0" xfId="0" applyFont="1" applyFill="1" applyBorder="1" applyAlignment="1">
      <alignment horizontal="center"/>
    </xf>
    <xf numFmtId="0" fontId="23" fillId="5" borderId="0" xfId="0" applyFont="1" applyFill="1" applyAlignment="1">
      <alignment horizontal="center"/>
    </xf>
    <xf numFmtId="0" fontId="22" fillId="0" borderId="0" xfId="0" applyFont="1" applyAlignment="1">
      <alignment horizontal="center"/>
    </xf>
    <xf numFmtId="0" fontId="18" fillId="5" borderId="0" xfId="0" applyFont="1" applyFill="1" applyAlignment="1">
      <alignment horizontal="right"/>
    </xf>
    <xf numFmtId="14" fontId="0" fillId="0" borderId="0" xfId="0" applyNumberFormat="1"/>
    <xf numFmtId="164" fontId="21" fillId="5" borderId="0" xfId="0" applyNumberFormat="1" applyFont="1" applyFill="1" applyBorder="1"/>
    <xf numFmtId="164" fontId="18" fillId="5" borderId="0" xfId="0" applyNumberFormat="1" applyFont="1" applyFill="1" applyBorder="1"/>
    <xf numFmtId="0" fontId="17" fillId="0" borderId="0" xfId="0" applyFont="1" applyFill="1"/>
    <xf numFmtId="0" fontId="20" fillId="5" borderId="0" xfId="0" applyFont="1" applyFill="1"/>
    <xf numFmtId="0" fontId="20" fillId="5" borderId="0" xfId="0" applyFont="1" applyFill="1" applyAlignment="1">
      <alignment vertical="center"/>
    </xf>
    <xf numFmtId="0" fontId="0" fillId="0" borderId="0" xfId="0" applyAlignment="1">
      <alignment vertical="center"/>
    </xf>
    <xf numFmtId="0" fontId="12" fillId="0" borderId="0" xfId="0" applyFont="1" applyFill="1" applyAlignment="1">
      <alignment horizontal="right"/>
    </xf>
    <xf numFmtId="164" fontId="17" fillId="0" borderId="0" xfId="0" applyNumberFormat="1" applyFont="1" applyFill="1" applyBorder="1"/>
    <xf numFmtId="164" fontId="12" fillId="0" borderId="0" xfId="0" applyNumberFormat="1" applyFont="1" applyFill="1" applyBorder="1"/>
    <xf numFmtId="0" fontId="17" fillId="0" borderId="0" xfId="0" applyFont="1" applyFill="1" applyAlignment="1">
      <alignment vertical="center"/>
    </xf>
    <xf numFmtId="0" fontId="22" fillId="4" borderId="20" xfId="0" applyFont="1" applyFill="1" applyBorder="1" applyAlignment="1">
      <alignment horizontal="center"/>
    </xf>
    <xf numFmtId="0" fontId="22" fillId="7" borderId="20" xfId="0" applyFont="1" applyFill="1" applyBorder="1" applyAlignment="1">
      <alignment horizontal="center"/>
    </xf>
    <xf numFmtId="0" fontId="22" fillId="6" borderId="20" xfId="0" applyFont="1" applyFill="1" applyBorder="1" applyAlignment="1">
      <alignment horizontal="center"/>
    </xf>
    <xf numFmtId="0" fontId="23" fillId="5" borderId="20" xfId="0" applyFont="1" applyFill="1" applyBorder="1" applyAlignment="1">
      <alignment horizontal="center"/>
    </xf>
    <xf numFmtId="0" fontId="19" fillId="5" borderId="0" xfId="0" applyFont="1" applyFill="1" applyBorder="1" applyAlignment="1" applyProtection="1">
      <alignment horizontal="center"/>
      <protection locked="0"/>
    </xf>
    <xf numFmtId="0" fontId="19" fillId="5" borderId="0" xfId="0" applyFont="1" applyFill="1" applyAlignment="1" applyProtection="1">
      <alignment horizontal="center"/>
      <protection locked="0"/>
    </xf>
    <xf numFmtId="164" fontId="0" fillId="4" borderId="9" xfId="0" applyNumberFormat="1" applyFill="1" applyBorder="1" applyProtection="1">
      <protection hidden="1"/>
    </xf>
    <xf numFmtId="164" fontId="1" fillId="4" borderId="9" xfId="0" applyNumberFormat="1" applyFont="1" applyFill="1" applyBorder="1" applyProtection="1">
      <protection hidden="1"/>
    </xf>
    <xf numFmtId="164" fontId="0" fillId="7" borderId="9" xfId="0" applyNumberFormat="1" applyFill="1" applyBorder="1" applyProtection="1">
      <protection hidden="1"/>
    </xf>
    <xf numFmtId="164" fontId="1" fillId="7" borderId="9" xfId="0" applyNumberFormat="1" applyFont="1" applyFill="1" applyBorder="1" applyProtection="1">
      <protection hidden="1"/>
    </xf>
    <xf numFmtId="164" fontId="0" fillId="6" borderId="9" xfId="0" applyNumberFormat="1" applyFill="1" applyBorder="1" applyProtection="1">
      <protection hidden="1"/>
    </xf>
    <xf numFmtId="164" fontId="1" fillId="6" borderId="9" xfId="0" applyNumberFormat="1" applyFont="1" applyFill="1" applyBorder="1" applyProtection="1">
      <protection hidden="1"/>
    </xf>
    <xf numFmtId="164" fontId="19" fillId="5" borderId="9" xfId="0" applyNumberFormat="1" applyFont="1" applyFill="1" applyBorder="1" applyProtection="1">
      <protection hidden="1"/>
    </xf>
    <xf numFmtId="164" fontId="20" fillId="5" borderId="9" xfId="0" applyNumberFormat="1" applyFont="1" applyFill="1" applyBorder="1" applyProtection="1">
      <protection hidden="1"/>
    </xf>
    <xf numFmtId="164" fontId="21" fillId="5" borderId="9" xfId="0" applyNumberFormat="1" applyFont="1" applyFill="1" applyBorder="1" applyProtection="1">
      <protection hidden="1"/>
    </xf>
    <xf numFmtId="164" fontId="18" fillId="5" borderId="9" xfId="0" applyNumberFormat="1" applyFont="1" applyFill="1" applyBorder="1" applyProtection="1">
      <protection hidden="1"/>
    </xf>
    <xf numFmtId="164" fontId="0" fillId="4" borderId="9" xfId="0" applyNumberFormat="1" applyFill="1" applyBorder="1" applyAlignment="1" applyProtection="1">
      <alignment horizontal="center"/>
      <protection hidden="1"/>
    </xf>
    <xf numFmtId="164" fontId="1" fillId="7" borderId="9" xfId="0" applyNumberFormat="1" applyFont="1" applyFill="1" applyBorder="1" applyAlignment="1" applyProtection="1">
      <alignment horizontal="center"/>
      <protection hidden="1"/>
    </xf>
    <xf numFmtId="164" fontId="1" fillId="6" borderId="9" xfId="0" applyNumberFormat="1" applyFont="1" applyFill="1" applyBorder="1" applyAlignment="1" applyProtection="1">
      <alignment horizontal="center"/>
      <protection hidden="1"/>
    </xf>
    <xf numFmtId="0" fontId="19" fillId="5" borderId="9" xfId="0" applyFont="1" applyFill="1" applyBorder="1" applyProtection="1">
      <protection hidden="1"/>
    </xf>
    <xf numFmtId="164" fontId="20" fillId="5" borderId="9" xfId="0" applyNumberFormat="1" applyFont="1" applyFill="1" applyBorder="1" applyAlignment="1" applyProtection="1">
      <alignment horizontal="center"/>
      <protection hidden="1"/>
    </xf>
    <xf numFmtId="0" fontId="0" fillId="4" borderId="9" xfId="0" applyFill="1" applyBorder="1" applyProtection="1">
      <protection hidden="1"/>
    </xf>
    <xf numFmtId="0" fontId="0" fillId="6" borderId="9" xfId="0" applyFill="1" applyBorder="1" applyProtection="1">
      <protection hidden="1"/>
    </xf>
    <xf numFmtId="0" fontId="1" fillId="4" borderId="9" xfId="0" applyFont="1" applyFill="1" applyBorder="1" applyProtection="1">
      <protection hidden="1"/>
    </xf>
    <xf numFmtId="0" fontId="0" fillId="7" borderId="9" xfId="0" applyFill="1" applyBorder="1" applyProtection="1">
      <protection hidden="1"/>
    </xf>
    <xf numFmtId="0" fontId="1" fillId="7" borderId="9" xfId="0" applyFont="1" applyFill="1" applyBorder="1" applyProtection="1">
      <protection hidden="1"/>
    </xf>
    <xf numFmtId="0" fontId="1" fillId="6" borderId="9" xfId="0" applyFont="1" applyFill="1" applyBorder="1" applyProtection="1">
      <protection hidden="1"/>
    </xf>
    <xf numFmtId="0" fontId="20" fillId="5" borderId="9" xfId="0" applyFont="1" applyFill="1" applyBorder="1" applyProtection="1">
      <protection hidden="1"/>
    </xf>
    <xf numFmtId="164" fontId="21" fillId="5" borderId="27" xfId="0" applyNumberFormat="1" applyFont="1" applyFill="1" applyBorder="1" applyProtection="1">
      <protection hidden="1"/>
    </xf>
    <xf numFmtId="164" fontId="18" fillId="5" borderId="27" xfId="0" applyNumberFormat="1" applyFont="1" applyFill="1" applyBorder="1" applyProtection="1">
      <protection hidden="1"/>
    </xf>
    <xf numFmtId="0" fontId="19" fillId="11" borderId="0" xfId="0" applyFont="1" applyFill="1" applyProtection="1">
      <protection hidden="1"/>
    </xf>
    <xf numFmtId="0" fontId="23" fillId="11" borderId="17" xfId="0" applyFont="1" applyFill="1" applyBorder="1" applyAlignment="1" applyProtection="1">
      <alignment horizontal="center"/>
      <protection hidden="1"/>
    </xf>
    <xf numFmtId="0" fontId="20" fillId="11" borderId="0" xfId="0" applyFont="1" applyFill="1" applyProtection="1">
      <protection hidden="1"/>
    </xf>
    <xf numFmtId="0" fontId="0" fillId="11" borderId="0" xfId="0" applyFill="1" applyProtection="1">
      <protection hidden="1"/>
    </xf>
    <xf numFmtId="0" fontId="1" fillId="10" borderId="0" xfId="0" applyFont="1" applyFill="1" applyProtection="1">
      <protection hidden="1"/>
    </xf>
    <xf numFmtId="0" fontId="0" fillId="10" borderId="0" xfId="0" applyFill="1" applyProtection="1">
      <protection hidden="1"/>
    </xf>
    <xf numFmtId="0" fontId="1" fillId="9" borderId="0" xfId="0" applyFont="1" applyFill="1" applyProtection="1">
      <protection hidden="1"/>
    </xf>
    <xf numFmtId="0" fontId="22" fillId="9" borderId="9" xfId="0" applyFont="1" applyFill="1" applyBorder="1" applyAlignment="1" applyProtection="1">
      <alignment horizontal="center"/>
      <protection hidden="1"/>
    </xf>
    <xf numFmtId="0" fontId="0" fillId="9" borderId="0" xfId="0" applyFill="1" applyProtection="1">
      <protection hidden="1"/>
    </xf>
    <xf numFmtId="0" fontId="22" fillId="11" borderId="22" xfId="0" applyFont="1" applyFill="1" applyBorder="1" applyAlignment="1" applyProtection="1">
      <alignment horizontal="center"/>
      <protection hidden="1"/>
    </xf>
    <xf numFmtId="0" fontId="22" fillId="9" borderId="0" xfId="0" applyFont="1" applyFill="1" applyBorder="1" applyAlignment="1" applyProtection="1">
      <alignment horizontal="center"/>
      <protection hidden="1"/>
    </xf>
    <xf numFmtId="0" fontId="19" fillId="11" borderId="12" xfId="0" applyFont="1" applyFill="1" applyBorder="1" applyAlignment="1" applyProtection="1">
      <alignment horizontal="center"/>
      <protection hidden="1"/>
    </xf>
    <xf numFmtId="0" fontId="23" fillId="11" borderId="21" xfId="0" applyFont="1" applyFill="1" applyBorder="1" applyAlignment="1" applyProtection="1">
      <alignment horizontal="center"/>
      <protection hidden="1"/>
    </xf>
    <xf numFmtId="0" fontId="0" fillId="10" borderId="13" xfId="0" applyFill="1" applyBorder="1" applyAlignment="1" applyProtection="1">
      <alignment horizontal="center"/>
      <protection hidden="1"/>
    </xf>
    <xf numFmtId="0" fontId="22" fillId="10" borderId="10" xfId="0" applyFont="1" applyFill="1" applyBorder="1" applyAlignment="1" applyProtection="1">
      <alignment horizontal="center"/>
      <protection hidden="1"/>
    </xf>
    <xf numFmtId="0" fontId="22" fillId="10" borderId="25" xfId="0" applyFont="1" applyFill="1" applyBorder="1" applyAlignment="1" applyProtection="1">
      <alignment horizontal="center"/>
      <protection hidden="1"/>
    </xf>
    <xf numFmtId="0" fontId="0" fillId="9" borderId="12" xfId="0" applyFill="1" applyBorder="1" applyAlignment="1" applyProtection="1">
      <alignment horizontal="center"/>
      <protection hidden="1"/>
    </xf>
    <xf numFmtId="0" fontId="1" fillId="9" borderId="12" xfId="0" applyFont="1" applyFill="1" applyBorder="1" applyAlignment="1" applyProtection="1">
      <alignment horizontal="center"/>
      <protection hidden="1"/>
    </xf>
    <xf numFmtId="0" fontId="22" fillId="9" borderId="26" xfId="0" applyFont="1" applyFill="1" applyBorder="1" applyAlignment="1" applyProtection="1">
      <alignment horizontal="center"/>
      <protection hidden="1"/>
    </xf>
    <xf numFmtId="164" fontId="19" fillId="11" borderId="9" xfId="0" applyNumberFormat="1" applyFont="1" applyFill="1" applyBorder="1" applyProtection="1">
      <protection hidden="1"/>
    </xf>
    <xf numFmtId="164" fontId="20" fillId="11" borderId="9" xfId="0" applyNumberFormat="1" applyFont="1" applyFill="1" applyBorder="1" applyProtection="1">
      <protection hidden="1"/>
    </xf>
    <xf numFmtId="164" fontId="0" fillId="10" borderId="18" xfId="0" applyNumberFormat="1" applyFill="1" applyBorder="1" applyProtection="1">
      <protection hidden="1"/>
    </xf>
    <xf numFmtId="164" fontId="1" fillId="10" borderId="18" xfId="0" applyNumberFormat="1" applyFont="1" applyFill="1" applyBorder="1" applyProtection="1">
      <protection hidden="1"/>
    </xf>
    <xf numFmtId="164" fontId="0" fillId="9" borderId="9" xfId="0" applyNumberFormat="1" applyFill="1" applyBorder="1" applyProtection="1">
      <protection hidden="1"/>
    </xf>
    <xf numFmtId="164" fontId="1" fillId="9" borderId="9" xfId="0" applyNumberFormat="1" applyFont="1" applyFill="1" applyBorder="1" applyProtection="1">
      <protection hidden="1"/>
    </xf>
    <xf numFmtId="164" fontId="18" fillId="5" borderId="0" xfId="0" applyNumberFormat="1" applyFont="1" applyFill="1" applyBorder="1" applyProtection="1">
      <protection hidden="1"/>
    </xf>
    <xf numFmtId="164" fontId="21" fillId="5" borderId="0" xfId="0" applyNumberFormat="1" applyFont="1" applyFill="1" applyBorder="1" applyProtection="1">
      <protection hidden="1"/>
    </xf>
    <xf numFmtId="0" fontId="24" fillId="0" borderId="23" xfId="0" applyFont="1" applyFill="1" applyBorder="1" applyAlignment="1" applyProtection="1">
      <alignment horizontal="center"/>
      <protection locked="0"/>
    </xf>
    <xf numFmtId="0" fontId="19" fillId="5" borderId="0" xfId="0" applyFont="1" applyFill="1" applyProtection="1">
      <protection locked="0"/>
    </xf>
    <xf numFmtId="0" fontId="18" fillId="5" borderId="11" xfId="0" applyFont="1" applyFill="1" applyBorder="1" applyAlignment="1">
      <alignment horizontal="center"/>
    </xf>
    <xf numFmtId="0" fontId="18" fillId="5" borderId="12" xfId="0" applyFont="1" applyFill="1" applyBorder="1" applyAlignment="1">
      <alignment horizontal="center"/>
    </xf>
    <xf numFmtId="0" fontId="18" fillId="5" borderId="13" xfId="0" applyFont="1" applyFill="1" applyBorder="1" applyAlignment="1">
      <alignment horizontal="center"/>
    </xf>
    <xf numFmtId="0" fontId="18" fillId="5" borderId="0" xfId="0" applyFont="1" applyFill="1" applyAlignment="1">
      <alignment horizontal="right"/>
    </xf>
    <xf numFmtId="0" fontId="14" fillId="0" borderId="18" xfId="0" applyFont="1" applyFill="1" applyBorder="1" applyAlignment="1" applyProtection="1">
      <alignment horizontal="center" vertical="center" wrapText="1"/>
      <protection hidden="1"/>
    </xf>
    <xf numFmtId="0" fontId="0" fillId="0" borderId="18" xfId="0" applyFill="1" applyBorder="1" applyAlignment="1" applyProtection="1">
      <alignment horizontal="center" vertical="center" wrapText="1"/>
      <protection hidden="1"/>
    </xf>
    <xf numFmtId="0" fontId="14" fillId="0" borderId="9" xfId="0" applyFont="1" applyFill="1" applyBorder="1" applyAlignment="1" applyProtection="1">
      <alignment horizontal="center" vertical="center" wrapText="1"/>
      <protection hidden="1"/>
    </xf>
    <xf numFmtId="0" fontId="0" fillId="0" borderId="9" xfId="0" applyFill="1" applyBorder="1" applyAlignment="1" applyProtection="1">
      <alignment horizontal="center" vertical="center" wrapText="1"/>
      <protection hidden="1"/>
    </xf>
    <xf numFmtId="0" fontId="27" fillId="9" borderId="0" xfId="0" applyFont="1" applyFill="1" applyAlignment="1" applyProtection="1">
      <alignment horizontal="center"/>
      <protection hidden="1"/>
    </xf>
    <xf numFmtId="0" fontId="20" fillId="11" borderId="0" xfId="0" applyFont="1" applyFill="1" applyAlignment="1" applyProtection="1">
      <alignment horizontal="center"/>
      <protection hidden="1"/>
    </xf>
    <xf numFmtId="0" fontId="1" fillId="10" borderId="0" xfId="0" applyFont="1" applyFill="1" applyAlignment="1" applyProtection="1">
      <alignment horizontal="center"/>
      <protection hidden="1"/>
    </xf>
    <xf numFmtId="0" fontId="18" fillId="5" borderId="14" xfId="0" applyFont="1" applyFill="1" applyBorder="1" applyAlignment="1">
      <alignment horizontal="center" vertical="center"/>
    </xf>
    <xf numFmtId="0" fontId="18" fillId="5" borderId="15" xfId="0" applyFont="1" applyFill="1" applyBorder="1" applyAlignment="1">
      <alignment horizontal="center" vertical="center"/>
    </xf>
    <xf numFmtId="0" fontId="18" fillId="5" borderId="16" xfId="0" applyFont="1" applyFill="1" applyBorder="1" applyAlignment="1">
      <alignment horizontal="center" vertical="center"/>
    </xf>
    <xf numFmtId="0" fontId="12" fillId="4" borderId="10" xfId="0" applyFont="1" applyFill="1" applyBorder="1" applyAlignment="1">
      <alignment horizontal="center"/>
    </xf>
    <xf numFmtId="0" fontId="12" fillId="7" borderId="10" xfId="0" applyFont="1" applyFill="1" applyBorder="1" applyAlignment="1">
      <alignment horizontal="center"/>
    </xf>
    <xf numFmtId="0" fontId="12" fillId="6" borderId="10" xfId="0" applyFont="1" applyFill="1" applyBorder="1" applyAlignment="1">
      <alignment horizontal="center"/>
    </xf>
    <xf numFmtId="0" fontId="28" fillId="8" borderId="24" xfId="0" applyFont="1" applyFill="1" applyBorder="1" applyAlignment="1" applyProtection="1">
      <alignment horizontal="center" vertical="center" wrapText="1"/>
      <protection hidden="1"/>
    </xf>
    <xf numFmtId="0" fontId="28" fillId="8" borderId="19" xfId="0" applyFont="1" applyFill="1" applyBorder="1" applyAlignment="1" applyProtection="1">
      <alignment horizontal="center" vertical="center" wrapText="1"/>
      <protection hidden="1"/>
    </xf>
    <xf numFmtId="0" fontId="14" fillId="10" borderId="0" xfId="0" applyFont="1" applyFill="1" applyAlignment="1" applyProtection="1">
      <alignment horizontal="center" vertical="center"/>
      <protection hidden="1"/>
    </xf>
    <xf numFmtId="0" fontId="0" fillId="10" borderId="0" xfId="0" applyFill="1" applyAlignment="1" applyProtection="1">
      <alignment horizontal="center" vertical="center"/>
      <protection hidden="1"/>
    </xf>
  </cellXfs>
  <cellStyles count="1">
    <cellStyle name="Normal" xfId="0" builtinId="0"/>
  </cellStyles>
  <dxfs count="12">
    <dxf>
      <font>
        <b/>
        <i val="0"/>
        <color theme="0"/>
      </font>
      <fill>
        <patternFill>
          <bgColor rgb="FFFF0000"/>
        </patternFill>
      </fill>
    </dxf>
    <dxf>
      <font>
        <b/>
        <i val="0"/>
        <color theme="0"/>
      </font>
      <fill>
        <patternFill>
          <bgColor rgb="FFFF0000"/>
        </patternFill>
      </fill>
    </dxf>
    <dxf>
      <fill>
        <patternFill patternType="none">
          <bgColor auto="1"/>
        </patternFill>
      </fill>
      <border>
        <left style="thin">
          <color auto="1"/>
        </left>
        <vertical/>
        <horizontal/>
      </border>
    </dxf>
    <dxf>
      <fill>
        <patternFill patternType="none">
          <bgColor auto="1"/>
        </patternFill>
      </fill>
      <border>
        <left style="thin">
          <color auto="1"/>
        </left>
        <vertical/>
        <horizontal/>
      </border>
    </dxf>
    <dxf>
      <fill>
        <patternFill patternType="none">
          <bgColor auto="1"/>
        </patternFill>
      </fill>
      <border>
        <left style="thin">
          <color auto="1"/>
        </left>
        <vertical/>
        <horizontal/>
      </border>
    </dxf>
    <dxf>
      <font>
        <b/>
        <i val="0"/>
        <color theme="0"/>
      </font>
      <fill>
        <patternFill>
          <bgColor rgb="FFFF0000"/>
        </patternFill>
      </fill>
    </dxf>
    <dxf>
      <border>
        <left style="thin">
          <color theme="0"/>
        </left>
        <right style="thin">
          <color theme="0"/>
        </right>
        <top style="thin">
          <color theme="0"/>
        </top>
        <bottom style="thin">
          <color theme="0"/>
        </bottom>
        <vertical/>
        <horizontal/>
      </border>
    </dxf>
    <dxf>
      <fill>
        <patternFill patternType="none">
          <bgColor auto="1"/>
        </patternFill>
      </fill>
    </dxf>
    <dxf>
      <fill>
        <patternFill patternType="none">
          <bgColor auto="1"/>
        </patternFill>
      </fill>
    </dxf>
    <dxf>
      <fill>
        <patternFill patternType="none">
          <bgColor auto="1"/>
        </patternFill>
      </fill>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2057400</xdr:colOff>
      <xdr:row>0</xdr:row>
      <xdr:rowOff>152399</xdr:rowOff>
    </xdr:from>
    <xdr:to>
      <xdr:col>0</xdr:col>
      <xdr:colOff>2057400</xdr:colOff>
      <xdr:row>4</xdr:row>
      <xdr:rowOff>18046</xdr:rowOff>
    </xdr:to>
    <xdr:pic>
      <xdr:nvPicPr>
        <xdr:cNvPr id="5" name="Picture 4" descr="logo">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381500" y="152399"/>
          <a:ext cx="704850" cy="741947"/>
        </a:xfrm>
        <a:prstGeom prst="rect">
          <a:avLst/>
        </a:prstGeom>
        <a:noFill/>
        <a:ln w="9525">
          <a:noFill/>
          <a:miter lim="800000"/>
          <a:headEnd/>
          <a:tailEnd/>
        </a:ln>
      </xdr:spPr>
    </xdr:pic>
    <xdr:clientData/>
  </xdr:twoCellAnchor>
  <xdr:twoCellAnchor editAs="oneCell">
    <xdr:from>
      <xdr:col>0</xdr:col>
      <xdr:colOff>2057400</xdr:colOff>
      <xdr:row>17</xdr:row>
      <xdr:rowOff>0</xdr:rowOff>
    </xdr:from>
    <xdr:to>
      <xdr:col>0</xdr:col>
      <xdr:colOff>2057400</xdr:colOff>
      <xdr:row>20</xdr:row>
      <xdr:rowOff>10110</xdr:rowOff>
    </xdr:to>
    <xdr:pic>
      <xdr:nvPicPr>
        <xdr:cNvPr id="8" name="Picture 4" descr="logo">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57400" y="152399"/>
          <a:ext cx="0" cy="741947"/>
        </a:xfrm>
        <a:prstGeom prst="rect">
          <a:avLst/>
        </a:prstGeom>
        <a:noFill/>
        <a:ln w="9525">
          <a:noFill/>
          <a:miter lim="800000"/>
          <a:headEnd/>
          <a:tailEnd/>
        </a:ln>
      </xdr:spPr>
    </xdr:pic>
    <xdr:clientData/>
  </xdr:twoCellAnchor>
  <xdr:twoCellAnchor editAs="oneCell">
    <xdr:from>
      <xdr:col>0</xdr:col>
      <xdr:colOff>2057400</xdr:colOff>
      <xdr:row>36</xdr:row>
      <xdr:rowOff>0</xdr:rowOff>
    </xdr:from>
    <xdr:to>
      <xdr:col>0</xdr:col>
      <xdr:colOff>2057400</xdr:colOff>
      <xdr:row>39</xdr:row>
      <xdr:rowOff>24397</xdr:rowOff>
    </xdr:to>
    <xdr:pic>
      <xdr:nvPicPr>
        <xdr:cNvPr id="11" name="Picture 4" descr="logo">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57400" y="7921625"/>
          <a:ext cx="0" cy="738772"/>
        </a:xfrm>
        <a:prstGeom prst="rect">
          <a:avLst/>
        </a:prstGeom>
        <a:noFill/>
        <a:ln w="9525">
          <a:noFill/>
          <a:miter lim="800000"/>
          <a:headEnd/>
          <a:tailEnd/>
        </a:ln>
      </xdr:spPr>
    </xdr:pic>
    <xdr:clientData/>
  </xdr:twoCellAnchor>
  <xdr:twoCellAnchor editAs="oneCell">
    <xdr:from>
      <xdr:col>0</xdr:col>
      <xdr:colOff>2057400</xdr:colOff>
      <xdr:row>54</xdr:row>
      <xdr:rowOff>0</xdr:rowOff>
    </xdr:from>
    <xdr:to>
      <xdr:col>0</xdr:col>
      <xdr:colOff>2057400</xdr:colOff>
      <xdr:row>57</xdr:row>
      <xdr:rowOff>24397</xdr:rowOff>
    </xdr:to>
    <xdr:pic>
      <xdr:nvPicPr>
        <xdr:cNvPr id="14" name="Picture 4" descr="logo">
          <a:extLst>
            <a:ext uri="{FF2B5EF4-FFF2-40B4-BE49-F238E27FC236}">
              <a16:creationId xmlns:a16="http://schemas.microsoft.com/office/drawing/2014/main" xmlns="" id="{00000000-0008-0000-0000-00000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57400" y="18726150"/>
          <a:ext cx="0" cy="73877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R119"/>
  <sheetViews>
    <sheetView topLeftCell="A22" workbookViewId="0">
      <selection activeCell="B27" sqref="B27"/>
    </sheetView>
  </sheetViews>
  <sheetFormatPr baseColWidth="10" defaultRowHeight="12.75"/>
  <cols>
    <col min="1" max="1" width="47.7109375" customWidth="1"/>
    <col min="2" max="11" width="8.7109375" customWidth="1"/>
    <col min="13" max="13" width="3.7109375" bestFit="1" customWidth="1"/>
  </cols>
  <sheetData>
    <row r="2" spans="1:18" ht="18.75">
      <c r="A2" s="1"/>
      <c r="B2" s="1"/>
      <c r="C2" s="1"/>
      <c r="D2" s="8"/>
      <c r="E2" s="27" t="s">
        <v>31</v>
      </c>
      <c r="F2" s="10"/>
      <c r="G2" s="26"/>
      <c r="H2" s="7" t="s">
        <v>2</v>
      </c>
      <c r="I2" s="7"/>
      <c r="J2" s="7"/>
    </row>
    <row r="3" spans="1:18" ht="18.75">
      <c r="A3" s="1"/>
      <c r="B3" s="1"/>
      <c r="C3" s="1"/>
      <c r="D3" s="1"/>
      <c r="E3" s="28" t="s">
        <v>4</v>
      </c>
      <c r="F3" s="10"/>
      <c r="G3" s="9"/>
      <c r="H3" s="7" t="s">
        <v>3</v>
      </c>
      <c r="I3" s="7"/>
      <c r="J3" s="7"/>
    </row>
    <row r="4" spans="1:18" ht="18.75" customHeight="1">
      <c r="A4" s="1"/>
      <c r="B4" s="1"/>
      <c r="C4" s="1"/>
      <c r="D4" s="1"/>
      <c r="E4" s="29" t="s">
        <v>5</v>
      </c>
      <c r="F4" s="9"/>
      <c r="G4" s="9"/>
    </row>
    <row r="5" spans="1:18">
      <c r="A5" s="1"/>
      <c r="B5" s="1"/>
      <c r="C5" s="1"/>
      <c r="D5" s="1"/>
      <c r="E5" s="1"/>
      <c r="F5" s="4"/>
      <c r="G5" s="4"/>
    </row>
    <row r="6" spans="1:18" ht="20.25">
      <c r="A6" s="12"/>
      <c r="B6" s="12"/>
      <c r="C6" s="11"/>
      <c r="D6" s="30" t="s">
        <v>0</v>
      </c>
      <c r="E6" s="13"/>
      <c r="F6" s="14"/>
      <c r="G6" s="14"/>
      <c r="H6" s="15"/>
      <c r="I6" s="15"/>
      <c r="J6" s="15"/>
      <c r="K6" s="15"/>
      <c r="L6" t="s">
        <v>45</v>
      </c>
      <c r="M6">
        <v>4</v>
      </c>
    </row>
    <row r="7" spans="1:18">
      <c r="A7" s="1"/>
      <c r="B7" s="1"/>
      <c r="C7" s="1"/>
      <c r="D7" s="1"/>
      <c r="E7" s="1"/>
      <c r="F7" s="1"/>
      <c r="G7" s="1"/>
    </row>
    <row r="8" spans="1:18" ht="18.75" thickBot="1">
      <c r="A8" s="2"/>
      <c r="B8" s="2"/>
      <c r="C8" s="2"/>
      <c r="D8" s="2"/>
      <c r="E8" s="2"/>
      <c r="F8" s="2"/>
      <c r="G8" s="2"/>
      <c r="N8" t="s">
        <v>45</v>
      </c>
      <c r="O8" t="s">
        <v>46</v>
      </c>
      <c r="P8" t="s">
        <v>47</v>
      </c>
    </row>
    <row r="9" spans="1:18" ht="31.5" customHeight="1" thickTop="1" thickBot="1">
      <c r="A9" s="23" t="s">
        <v>6</v>
      </c>
      <c r="B9" s="24" t="s">
        <v>7</v>
      </c>
      <c r="C9" s="25" t="s">
        <v>8</v>
      </c>
      <c r="D9" s="25" t="s">
        <v>9</v>
      </c>
      <c r="E9" s="25" t="s">
        <v>10</v>
      </c>
      <c r="F9" s="25" t="s">
        <v>11</v>
      </c>
      <c r="G9" s="25" t="s">
        <v>12</v>
      </c>
      <c r="H9" s="25" t="s">
        <v>13</v>
      </c>
      <c r="I9" s="25" t="s">
        <v>14</v>
      </c>
      <c r="J9" s="25" t="s">
        <v>15</v>
      </c>
      <c r="K9" s="25" t="s">
        <v>19</v>
      </c>
      <c r="L9" s="56" t="s">
        <v>48</v>
      </c>
      <c r="N9" s="55">
        <f>HLOOKUP(B9,$B$9:$K$14,4,FALSE)+B10</f>
        <v>875</v>
      </c>
      <c r="O9" s="55">
        <f>N9-B12+B14</f>
        <v>1110</v>
      </c>
      <c r="P9">
        <f>165*12</f>
        <v>1980</v>
      </c>
      <c r="R9" s="24" t="s">
        <v>7</v>
      </c>
    </row>
    <row r="10" spans="1:18" ht="66" customHeight="1" thickTop="1" thickBot="1">
      <c r="A10" s="31" t="s">
        <v>33</v>
      </c>
      <c r="B10" s="39">
        <v>655</v>
      </c>
      <c r="C10" s="39">
        <v>655</v>
      </c>
      <c r="D10" s="39">
        <v>655</v>
      </c>
      <c r="E10" s="39">
        <v>655</v>
      </c>
      <c r="F10" s="39">
        <v>655</v>
      </c>
      <c r="G10" s="39">
        <v>655</v>
      </c>
      <c r="H10" s="39">
        <v>655</v>
      </c>
      <c r="I10" s="39">
        <v>655</v>
      </c>
      <c r="J10" s="39">
        <v>655</v>
      </c>
      <c r="K10" s="39">
        <v>655</v>
      </c>
      <c r="M10" s="49"/>
      <c r="N10" s="46"/>
      <c r="R10" s="25" t="s">
        <v>8</v>
      </c>
    </row>
    <row r="11" spans="1:18" ht="14.25" thickTop="1" thickBot="1">
      <c r="A11" s="33" t="s">
        <v>34</v>
      </c>
      <c r="B11" s="35"/>
      <c r="C11" s="36"/>
      <c r="D11" s="36"/>
      <c r="E11" s="37"/>
      <c r="F11" s="37"/>
      <c r="G11" s="37"/>
      <c r="H11" s="38"/>
      <c r="I11" s="38"/>
      <c r="J11" s="38"/>
      <c r="K11" s="38"/>
      <c r="R11" s="25" t="s">
        <v>9</v>
      </c>
    </row>
    <row r="12" spans="1:18" ht="24.95" customHeight="1" thickTop="1" thickBot="1">
      <c r="A12" s="51" t="s">
        <v>1</v>
      </c>
      <c r="B12" s="52">
        <v>220</v>
      </c>
      <c r="C12" s="52">
        <v>220</v>
      </c>
      <c r="D12" s="52">
        <v>220</v>
      </c>
      <c r="E12" s="52">
        <v>220</v>
      </c>
      <c r="F12" s="52">
        <v>220</v>
      </c>
      <c r="G12" s="52">
        <v>220</v>
      </c>
      <c r="H12" s="52">
        <v>220</v>
      </c>
      <c r="I12" s="52">
        <v>220</v>
      </c>
      <c r="J12" s="52">
        <v>220</v>
      </c>
      <c r="K12" s="52">
        <v>220</v>
      </c>
      <c r="M12" s="45"/>
      <c r="N12" s="47"/>
      <c r="R12" s="25" t="s">
        <v>10</v>
      </c>
    </row>
    <row r="13" spans="1:18" ht="14.25" thickTop="1" thickBot="1">
      <c r="A13" s="33" t="s">
        <v>35</v>
      </c>
      <c r="B13" s="35"/>
      <c r="C13" s="36"/>
      <c r="D13" s="36"/>
      <c r="E13" s="37"/>
      <c r="F13" s="37"/>
      <c r="G13" s="37"/>
      <c r="H13" s="38"/>
      <c r="I13" s="38"/>
      <c r="J13" s="38"/>
      <c r="K13" s="38"/>
      <c r="R13" s="25" t="s">
        <v>11</v>
      </c>
    </row>
    <row r="14" spans="1:18" ht="35.25" thickTop="1" thickBot="1">
      <c r="A14" s="34" t="s">
        <v>36</v>
      </c>
      <c r="B14" s="41">
        <v>455</v>
      </c>
      <c r="C14" s="41">
        <f>B14</f>
        <v>455</v>
      </c>
      <c r="D14" s="54">
        <f>B14</f>
        <v>455</v>
      </c>
      <c r="E14" s="54">
        <f>B14</f>
        <v>455</v>
      </c>
      <c r="F14" s="54">
        <f>B14</f>
        <v>455</v>
      </c>
      <c r="G14" s="54">
        <f>B14</f>
        <v>455</v>
      </c>
      <c r="H14" s="54">
        <f>B14</f>
        <v>455</v>
      </c>
      <c r="I14" s="54">
        <f>B14</f>
        <v>455</v>
      </c>
      <c r="J14" s="54">
        <f>B14</f>
        <v>455</v>
      </c>
      <c r="K14" s="54">
        <f>B14</f>
        <v>455</v>
      </c>
      <c r="R14" s="25" t="s">
        <v>12</v>
      </c>
    </row>
    <row r="15" spans="1:18" s="3" customFormat="1" ht="17.25" thickTop="1" thickBot="1">
      <c r="B15" s="17"/>
      <c r="C15" s="18"/>
      <c r="D15" s="18"/>
      <c r="E15" s="17"/>
      <c r="F15" s="19"/>
      <c r="G15" s="17"/>
      <c r="H15" s="22"/>
      <c r="M15" s="53"/>
      <c r="R15" s="25" t="s">
        <v>13</v>
      </c>
    </row>
    <row r="16" spans="1:18" s="3" customFormat="1" ht="17.25" thickTop="1" thickBot="1">
      <c r="B16" s="17"/>
      <c r="C16" s="18"/>
      <c r="D16" s="18"/>
      <c r="E16" s="17"/>
      <c r="F16" s="19"/>
      <c r="G16" s="17"/>
      <c r="H16" s="22"/>
      <c r="M16" s="53"/>
      <c r="R16" s="25" t="s">
        <v>14</v>
      </c>
    </row>
    <row r="17" spans="1:18" s="3" customFormat="1" ht="14.25" thickTop="1" thickBot="1">
      <c r="A17" s="17"/>
      <c r="B17" s="18"/>
      <c r="C17" s="18"/>
      <c r="D17" s="17"/>
      <c r="E17" s="19"/>
      <c r="F17" s="17"/>
      <c r="G17" s="22"/>
      <c r="H17" s="22"/>
      <c r="R17" s="25" t="s">
        <v>15</v>
      </c>
    </row>
    <row r="18" spans="1:18" ht="20.25" thickTop="1" thickBot="1">
      <c r="A18" s="1"/>
      <c r="B18" s="1"/>
      <c r="C18" s="1"/>
      <c r="D18" s="8"/>
      <c r="E18" s="27"/>
      <c r="F18" s="10"/>
      <c r="G18" s="26"/>
      <c r="H18" s="7"/>
      <c r="I18" s="7"/>
      <c r="J18" s="7"/>
      <c r="M18" s="53"/>
      <c r="R18" s="25" t="s">
        <v>19</v>
      </c>
    </row>
    <row r="19" spans="1:18" ht="19.5" thickTop="1">
      <c r="A19" s="1"/>
      <c r="B19" s="1"/>
      <c r="C19" s="1"/>
      <c r="D19" s="1"/>
      <c r="E19" s="28"/>
      <c r="F19" s="10"/>
      <c r="G19" s="9"/>
      <c r="H19" s="7"/>
      <c r="I19" s="7"/>
      <c r="J19" s="7"/>
      <c r="M19" s="53"/>
    </row>
    <row r="20" spans="1:18" ht="18.75" customHeight="1">
      <c r="A20" s="1"/>
      <c r="B20" s="1"/>
      <c r="C20" s="1"/>
      <c r="D20" s="1"/>
      <c r="E20" s="29"/>
      <c r="F20" s="9"/>
      <c r="G20" s="9"/>
      <c r="M20" s="53"/>
    </row>
    <row r="21" spans="1:18">
      <c r="A21" s="1"/>
      <c r="B21" s="1"/>
      <c r="C21" s="1"/>
      <c r="D21" s="1"/>
      <c r="E21" s="1"/>
      <c r="F21" s="4"/>
      <c r="G21" s="4"/>
    </row>
    <row r="22" spans="1:18" ht="20.25">
      <c r="A22" s="12"/>
      <c r="B22" s="12"/>
      <c r="C22" s="11"/>
      <c r="D22" s="30" t="s">
        <v>16</v>
      </c>
      <c r="E22" s="13"/>
      <c r="F22" s="14"/>
      <c r="G22" s="14"/>
      <c r="H22" s="15"/>
      <c r="I22" s="15"/>
      <c r="J22" s="15"/>
      <c r="K22" s="15"/>
      <c r="L22" t="s">
        <v>46</v>
      </c>
    </row>
    <row r="23" spans="1:18">
      <c r="A23" s="1"/>
      <c r="B23" s="1"/>
      <c r="C23" s="1"/>
      <c r="D23" s="1"/>
      <c r="E23" s="1"/>
      <c r="F23" s="1"/>
      <c r="G23" s="1"/>
    </row>
    <row r="24" spans="1:18" ht="18.75" thickBot="1">
      <c r="A24" s="2"/>
      <c r="B24" s="2"/>
      <c r="C24" s="2"/>
      <c r="D24" s="2"/>
      <c r="E24" s="2"/>
      <c r="F24" s="2"/>
      <c r="G24" s="2"/>
    </row>
    <row r="25" spans="1:18" ht="31.5" customHeight="1" thickTop="1" thickBot="1">
      <c r="A25" s="23" t="s">
        <v>6</v>
      </c>
      <c r="B25" s="24" t="s">
        <v>7</v>
      </c>
      <c r="C25" s="25" t="s">
        <v>8</v>
      </c>
      <c r="D25" s="25" t="s">
        <v>9</v>
      </c>
      <c r="E25" s="25" t="s">
        <v>10</v>
      </c>
      <c r="F25" s="25" t="s">
        <v>11</v>
      </c>
      <c r="G25" s="25" t="s">
        <v>12</v>
      </c>
      <c r="H25" s="25" t="s">
        <v>13</v>
      </c>
      <c r="I25" s="25" t="s">
        <v>14</v>
      </c>
      <c r="J25" s="25" t="s">
        <v>15</v>
      </c>
      <c r="K25" s="25" t="s">
        <v>19</v>
      </c>
    </row>
    <row r="26" spans="1:18" ht="42.75" customHeight="1" thickTop="1">
      <c r="A26" s="42" t="s">
        <v>17</v>
      </c>
      <c r="B26" s="39">
        <v>310</v>
      </c>
      <c r="C26" s="39">
        <f>B26</f>
        <v>310</v>
      </c>
      <c r="D26" s="39">
        <f>B26</f>
        <v>310</v>
      </c>
      <c r="E26" s="39">
        <f>B26</f>
        <v>310</v>
      </c>
      <c r="F26" s="39">
        <f>B26</f>
        <v>310</v>
      </c>
      <c r="G26" s="39">
        <f>B26</f>
        <v>310</v>
      </c>
      <c r="H26" s="39">
        <f>B26</f>
        <v>310</v>
      </c>
      <c r="I26" s="39">
        <f>B26</f>
        <v>310</v>
      </c>
      <c r="J26" s="39">
        <f>B26</f>
        <v>310</v>
      </c>
      <c r="K26" s="39">
        <f>B26</f>
        <v>310</v>
      </c>
    </row>
    <row r="27" spans="1:18" ht="64.5" customHeight="1">
      <c r="A27" s="32" t="s">
        <v>18</v>
      </c>
      <c r="B27" s="40">
        <v>478</v>
      </c>
      <c r="C27" s="40">
        <v>520</v>
      </c>
      <c r="D27" s="40">
        <v>595</v>
      </c>
      <c r="E27" s="40">
        <v>684</v>
      </c>
      <c r="F27" s="40">
        <v>704</v>
      </c>
      <c r="G27" s="40">
        <v>777</v>
      </c>
      <c r="H27" s="43">
        <v>887</v>
      </c>
      <c r="I27" s="43">
        <v>934</v>
      </c>
      <c r="J27" s="43">
        <v>1084</v>
      </c>
      <c r="K27" s="43">
        <v>1155</v>
      </c>
    </row>
    <row r="28" spans="1:18" ht="60.75" customHeight="1">
      <c r="A28" s="32" t="s">
        <v>39</v>
      </c>
      <c r="B28" s="40">
        <v>615</v>
      </c>
      <c r="C28" s="40">
        <f>B28</f>
        <v>615</v>
      </c>
      <c r="D28" s="40">
        <f>B28</f>
        <v>615</v>
      </c>
      <c r="E28" s="40">
        <f>B28</f>
        <v>615</v>
      </c>
      <c r="F28" s="40">
        <f>B28</f>
        <v>615</v>
      </c>
      <c r="G28" s="40">
        <f>B28</f>
        <v>615</v>
      </c>
      <c r="H28" s="40">
        <f>B28</f>
        <v>615</v>
      </c>
      <c r="I28" s="40">
        <f>B28</f>
        <v>615</v>
      </c>
      <c r="J28" s="40">
        <f>B28</f>
        <v>615</v>
      </c>
      <c r="K28" s="40">
        <f>B28</f>
        <v>615</v>
      </c>
    </row>
    <row r="29" spans="1:18" ht="51" customHeight="1">
      <c r="A29" s="32" t="s">
        <v>32</v>
      </c>
      <c r="B29" s="40">
        <v>330</v>
      </c>
      <c r="C29" s="40">
        <f>B29</f>
        <v>330</v>
      </c>
      <c r="D29" s="40">
        <f>B29</f>
        <v>330</v>
      </c>
      <c r="E29" s="40">
        <f>B29</f>
        <v>330</v>
      </c>
      <c r="F29" s="40">
        <f>B29</f>
        <v>330</v>
      </c>
      <c r="G29" s="40">
        <f>B29</f>
        <v>330</v>
      </c>
      <c r="H29" s="40">
        <f>B29</f>
        <v>330</v>
      </c>
      <c r="I29" s="40">
        <f>B29</f>
        <v>330</v>
      </c>
      <c r="J29" s="40">
        <f>B29</f>
        <v>330</v>
      </c>
      <c r="K29" s="40">
        <f>B29</f>
        <v>330</v>
      </c>
      <c r="M29" s="44"/>
    </row>
    <row r="30" spans="1:18">
      <c r="A30" s="33" t="s">
        <v>34</v>
      </c>
      <c r="B30" s="35"/>
      <c r="C30" s="36"/>
      <c r="D30" s="36"/>
      <c r="E30" s="37"/>
      <c r="F30" s="37"/>
      <c r="G30" s="37"/>
      <c r="H30" s="38"/>
      <c r="I30" s="38"/>
      <c r="J30" s="38"/>
      <c r="K30" s="38"/>
    </row>
    <row r="31" spans="1:18" ht="39" customHeight="1">
      <c r="A31" s="51" t="s">
        <v>37</v>
      </c>
      <c r="B31" s="52">
        <v>350</v>
      </c>
      <c r="C31" s="52">
        <f>B31</f>
        <v>350</v>
      </c>
      <c r="D31" s="52">
        <f>B31</f>
        <v>350</v>
      </c>
      <c r="E31" s="52">
        <f>B31</f>
        <v>350</v>
      </c>
      <c r="F31" s="52">
        <f>B31</f>
        <v>350</v>
      </c>
      <c r="G31" s="52">
        <f>B31</f>
        <v>350</v>
      </c>
      <c r="H31" s="52">
        <f>B31</f>
        <v>350</v>
      </c>
      <c r="I31" s="52">
        <f>B31</f>
        <v>350</v>
      </c>
      <c r="J31" s="52">
        <f>B31</f>
        <v>350</v>
      </c>
      <c r="K31" s="52">
        <f>B31</f>
        <v>350</v>
      </c>
      <c r="M31" s="45"/>
      <c r="N31" s="47"/>
    </row>
    <row r="32" spans="1:18">
      <c r="A32" s="33" t="s">
        <v>35</v>
      </c>
      <c r="B32" s="35"/>
      <c r="C32" s="36"/>
      <c r="D32" s="36"/>
      <c r="E32" s="37"/>
      <c r="F32" s="37"/>
      <c r="G32" s="37"/>
      <c r="H32" s="38"/>
      <c r="I32" s="38"/>
      <c r="J32" s="38"/>
      <c r="K32" s="38"/>
    </row>
    <row r="33" spans="1:14" ht="45">
      <c r="A33" s="34" t="s">
        <v>38</v>
      </c>
      <c r="B33" s="41">
        <v>500</v>
      </c>
      <c r="C33" s="41">
        <f>B33</f>
        <v>500</v>
      </c>
      <c r="D33" s="41">
        <f>B33</f>
        <v>500</v>
      </c>
      <c r="E33" s="41">
        <f>B33</f>
        <v>500</v>
      </c>
      <c r="F33" s="41">
        <f>B33</f>
        <v>500</v>
      </c>
      <c r="G33" s="41">
        <f>B33</f>
        <v>500</v>
      </c>
      <c r="H33" s="41">
        <f>B33</f>
        <v>500</v>
      </c>
      <c r="I33" s="41">
        <f>B33</f>
        <v>500</v>
      </c>
      <c r="J33" s="41">
        <f>B33</f>
        <v>500</v>
      </c>
      <c r="K33" s="41">
        <f>B33</f>
        <v>500</v>
      </c>
    </row>
    <row r="34" spans="1:14" s="3" customFormat="1">
      <c r="B34" s="17"/>
      <c r="C34" s="18"/>
      <c r="D34" s="18"/>
      <c r="E34" s="17"/>
      <c r="F34" s="19"/>
      <c r="G34" s="17"/>
      <c r="H34" s="22"/>
    </row>
    <row r="35" spans="1:14" s="3" customFormat="1">
      <c r="B35" s="17"/>
      <c r="C35" s="18"/>
      <c r="D35" s="18"/>
      <c r="E35" s="17"/>
      <c r="F35" s="19"/>
      <c r="G35" s="17"/>
      <c r="H35" s="22"/>
    </row>
    <row r="36" spans="1:14" s="3" customFormat="1">
      <c r="A36" s="17"/>
      <c r="B36" s="21"/>
      <c r="C36" s="21"/>
      <c r="D36" s="17"/>
      <c r="E36" s="17"/>
      <c r="F36" s="17"/>
    </row>
    <row r="37" spans="1:14" ht="18.75">
      <c r="A37" s="1"/>
      <c r="B37" s="1"/>
      <c r="C37" s="1"/>
      <c r="D37" s="8"/>
      <c r="E37" s="27"/>
      <c r="F37" s="10"/>
      <c r="G37" s="26"/>
      <c r="H37" s="7"/>
      <c r="I37" s="7"/>
      <c r="J37" s="7"/>
    </row>
    <row r="38" spans="1:14" ht="18.75">
      <c r="A38" s="1"/>
      <c r="B38" s="1"/>
      <c r="C38" s="1"/>
      <c r="D38" s="1"/>
      <c r="E38" s="28"/>
      <c r="F38" s="10"/>
      <c r="G38" s="9"/>
      <c r="H38" s="7"/>
      <c r="I38" s="7"/>
      <c r="J38" s="7"/>
    </row>
    <row r="39" spans="1:14" ht="18.75" customHeight="1">
      <c r="A39" s="1"/>
      <c r="B39" s="1"/>
      <c r="C39" s="1"/>
      <c r="D39" s="1"/>
      <c r="E39" s="29"/>
      <c r="F39" s="9"/>
      <c r="G39" s="9"/>
    </row>
    <row r="40" spans="1:14">
      <c r="A40" s="1"/>
      <c r="B40" s="1"/>
      <c r="C40" s="1"/>
      <c r="D40" s="1"/>
      <c r="E40" s="1"/>
      <c r="F40" s="4"/>
      <c r="G40" s="4"/>
    </row>
    <row r="41" spans="1:14" ht="20.25">
      <c r="A41" s="12"/>
      <c r="B41" s="12"/>
      <c r="C41" s="11"/>
      <c r="D41" s="30" t="s">
        <v>24</v>
      </c>
      <c r="E41" s="13"/>
      <c r="F41" s="14"/>
      <c r="G41" s="14"/>
      <c r="H41" s="15"/>
      <c r="I41" s="15"/>
      <c r="J41" s="15"/>
      <c r="K41" s="15"/>
    </row>
    <row r="42" spans="1:14">
      <c r="A42" s="1"/>
      <c r="B42" s="1"/>
      <c r="C42" s="1"/>
      <c r="D42" s="1"/>
      <c r="E42" s="1"/>
      <c r="F42" s="1"/>
      <c r="G42" s="1"/>
    </row>
    <row r="43" spans="1:14" ht="18.75" thickBot="1">
      <c r="A43" s="2"/>
      <c r="B43" s="2"/>
      <c r="C43" s="2"/>
      <c r="D43" s="2"/>
      <c r="E43" s="2"/>
      <c r="F43" s="2"/>
      <c r="G43" s="2"/>
    </row>
    <row r="44" spans="1:14" ht="31.5" customHeight="1" thickTop="1" thickBot="1">
      <c r="A44" s="23" t="s">
        <v>6</v>
      </c>
      <c r="B44" s="24" t="s">
        <v>7</v>
      </c>
      <c r="C44" s="25" t="s">
        <v>8</v>
      </c>
      <c r="D44" s="25" t="s">
        <v>9</v>
      </c>
      <c r="E44" s="25" t="s">
        <v>10</v>
      </c>
      <c r="F44" s="25" t="s">
        <v>11</v>
      </c>
      <c r="G44" s="25" t="s">
        <v>12</v>
      </c>
      <c r="H44" s="25" t="s">
        <v>13</v>
      </c>
      <c r="I44" s="25" t="s">
        <v>14</v>
      </c>
      <c r="J44" s="25" t="s">
        <v>15</v>
      </c>
      <c r="K44" s="25" t="s">
        <v>19</v>
      </c>
    </row>
    <row r="45" spans="1:14" ht="24.95" customHeight="1" thickTop="1">
      <c r="A45" s="48" t="s">
        <v>26</v>
      </c>
      <c r="B45" s="40">
        <v>95</v>
      </c>
      <c r="C45" s="40">
        <v>95</v>
      </c>
      <c r="D45" s="40">
        <v>95</v>
      </c>
      <c r="E45" s="40">
        <v>95</v>
      </c>
      <c r="F45" s="40">
        <v>95</v>
      </c>
      <c r="G45" s="40">
        <v>95</v>
      </c>
      <c r="H45" s="40">
        <v>95</v>
      </c>
      <c r="I45" s="40">
        <v>95</v>
      </c>
      <c r="J45" s="40">
        <v>95</v>
      </c>
      <c r="K45" s="40">
        <v>95</v>
      </c>
    </row>
    <row r="46" spans="1:14" ht="49.5" customHeight="1">
      <c r="A46" s="32" t="s">
        <v>25</v>
      </c>
      <c r="B46" s="40">
        <v>130</v>
      </c>
      <c r="C46" s="40">
        <v>130</v>
      </c>
      <c r="D46" s="40">
        <v>130</v>
      </c>
      <c r="E46" s="40">
        <v>130</v>
      </c>
      <c r="F46" s="40">
        <v>130</v>
      </c>
      <c r="G46" s="40">
        <v>130</v>
      </c>
      <c r="H46" s="40">
        <v>130</v>
      </c>
      <c r="I46" s="40">
        <v>130</v>
      </c>
      <c r="J46" s="40">
        <v>130</v>
      </c>
      <c r="K46" s="40">
        <v>130</v>
      </c>
    </row>
    <row r="47" spans="1:14">
      <c r="A47" s="33" t="s">
        <v>34</v>
      </c>
      <c r="B47" s="35"/>
      <c r="C47" s="36"/>
      <c r="D47" s="36"/>
      <c r="E47" s="37"/>
      <c r="F47" s="37"/>
      <c r="G47" s="37"/>
      <c r="H47" s="38"/>
      <c r="I47" s="38"/>
      <c r="J47" s="38"/>
      <c r="K47" s="38"/>
    </row>
    <row r="48" spans="1:14" ht="24.95" customHeight="1">
      <c r="A48" s="51" t="s">
        <v>1</v>
      </c>
      <c r="B48" s="52">
        <f t="shared" ref="B48:K48" si="0">B12</f>
        <v>220</v>
      </c>
      <c r="C48" s="52">
        <f t="shared" si="0"/>
        <v>220</v>
      </c>
      <c r="D48" s="52">
        <f t="shared" si="0"/>
        <v>220</v>
      </c>
      <c r="E48" s="52">
        <f t="shared" si="0"/>
        <v>220</v>
      </c>
      <c r="F48" s="52">
        <f t="shared" si="0"/>
        <v>220</v>
      </c>
      <c r="G48" s="52">
        <f t="shared" si="0"/>
        <v>220</v>
      </c>
      <c r="H48" s="52">
        <f t="shared" si="0"/>
        <v>220</v>
      </c>
      <c r="I48" s="52">
        <f t="shared" si="0"/>
        <v>220</v>
      </c>
      <c r="J48" s="52">
        <f t="shared" si="0"/>
        <v>220</v>
      </c>
      <c r="K48" s="52">
        <f t="shared" si="0"/>
        <v>220</v>
      </c>
      <c r="M48" s="45"/>
      <c r="N48" s="47"/>
    </row>
    <row r="49" spans="1:11">
      <c r="A49" s="33" t="s">
        <v>35</v>
      </c>
      <c r="B49" s="35"/>
      <c r="C49" s="36"/>
      <c r="D49" s="36"/>
      <c r="E49" s="37"/>
      <c r="F49" s="37"/>
      <c r="G49" s="37"/>
      <c r="H49" s="38"/>
      <c r="I49" s="38"/>
      <c r="J49" s="38"/>
      <c r="K49" s="38"/>
    </row>
    <row r="50" spans="1:11" ht="33.75">
      <c r="A50" s="34" t="s">
        <v>36</v>
      </c>
      <c r="B50" s="41">
        <f>B14</f>
        <v>455</v>
      </c>
      <c r="C50" s="41">
        <f>C14</f>
        <v>455</v>
      </c>
      <c r="D50" s="41">
        <f t="shared" ref="D50:K50" si="1">D14</f>
        <v>455</v>
      </c>
      <c r="E50" s="41">
        <f t="shared" si="1"/>
        <v>455</v>
      </c>
      <c r="F50" s="41">
        <f t="shared" si="1"/>
        <v>455</v>
      </c>
      <c r="G50" s="41">
        <f t="shared" si="1"/>
        <v>455</v>
      </c>
      <c r="H50" s="41">
        <f t="shared" si="1"/>
        <v>455</v>
      </c>
      <c r="I50" s="41">
        <f t="shared" si="1"/>
        <v>455</v>
      </c>
      <c r="J50" s="41">
        <f t="shared" si="1"/>
        <v>455</v>
      </c>
      <c r="K50" s="41">
        <f t="shared" si="1"/>
        <v>455</v>
      </c>
    </row>
    <row r="51" spans="1:11" s="3" customFormat="1">
      <c r="B51" s="17"/>
      <c r="C51" s="18"/>
      <c r="D51" s="18"/>
      <c r="E51" s="17"/>
      <c r="F51" s="19"/>
      <c r="G51" s="17"/>
      <c r="H51" s="22"/>
    </row>
    <row r="52" spans="1:11" s="3" customFormat="1">
      <c r="B52" s="17"/>
      <c r="C52" s="18"/>
      <c r="D52" s="18"/>
      <c r="E52" s="17"/>
      <c r="F52" s="19"/>
      <c r="G52" s="17"/>
      <c r="H52" s="22"/>
    </row>
    <row r="53" spans="1:11" s="3" customFormat="1">
      <c r="B53" s="17"/>
      <c r="C53" s="18"/>
      <c r="D53" s="18"/>
      <c r="E53" s="17"/>
      <c r="F53" s="19"/>
      <c r="G53" s="17"/>
      <c r="H53" s="22"/>
    </row>
    <row r="54" spans="1:11" s="3" customFormat="1">
      <c r="B54" s="17"/>
      <c r="C54" s="18"/>
      <c r="D54" s="18"/>
      <c r="E54" s="17"/>
      <c r="F54" s="19"/>
      <c r="G54" s="17"/>
      <c r="H54" s="22"/>
    </row>
    <row r="55" spans="1:11" ht="18.75">
      <c r="A55" s="1"/>
      <c r="B55" s="1"/>
      <c r="C55" s="1"/>
      <c r="D55" s="8"/>
      <c r="E55" s="27"/>
      <c r="F55" s="10"/>
      <c r="G55" s="26"/>
      <c r="H55" s="7"/>
      <c r="I55" s="7"/>
      <c r="J55" s="7"/>
    </row>
    <row r="56" spans="1:11" ht="18.75">
      <c r="A56" s="1"/>
      <c r="B56" s="1"/>
      <c r="C56" s="1"/>
      <c r="D56" s="1"/>
      <c r="E56" s="28"/>
      <c r="F56" s="10"/>
      <c r="G56" s="9"/>
      <c r="H56" s="7"/>
      <c r="I56" s="7"/>
      <c r="J56" s="7"/>
    </row>
    <row r="57" spans="1:11" ht="18.75" customHeight="1">
      <c r="A57" s="1"/>
      <c r="B57" s="1"/>
      <c r="C57" s="1"/>
      <c r="D57" s="1"/>
      <c r="E57" s="29"/>
      <c r="F57" s="9"/>
      <c r="G57" s="9"/>
    </row>
    <row r="58" spans="1:11">
      <c r="A58" s="1"/>
      <c r="B58" s="1"/>
      <c r="C58" s="1"/>
      <c r="D58" s="1"/>
      <c r="E58" s="1"/>
      <c r="F58" s="4"/>
      <c r="G58" s="4"/>
    </row>
    <row r="59" spans="1:11" ht="20.25">
      <c r="A59" s="12"/>
      <c r="B59" s="12"/>
      <c r="C59" s="11"/>
      <c r="D59" s="30" t="s">
        <v>20</v>
      </c>
      <c r="E59" s="13"/>
      <c r="F59" s="14"/>
      <c r="G59" s="14"/>
      <c r="H59" s="15"/>
      <c r="I59" s="15"/>
      <c r="J59" s="15"/>
      <c r="K59" s="15"/>
    </row>
    <row r="60" spans="1:11">
      <c r="A60" s="1"/>
      <c r="B60" s="1"/>
      <c r="C60" s="1"/>
      <c r="D60" s="1"/>
      <c r="E60" s="1"/>
      <c r="F60" s="1"/>
      <c r="G60" s="1"/>
    </row>
    <row r="61" spans="1:11" ht="18.75" thickBot="1">
      <c r="A61" s="2"/>
      <c r="B61" s="2"/>
      <c r="C61" s="2"/>
      <c r="D61" s="2"/>
      <c r="E61" s="2"/>
      <c r="F61" s="2"/>
      <c r="G61" s="2"/>
    </row>
    <row r="62" spans="1:11" ht="31.5" customHeight="1" thickTop="1" thickBot="1">
      <c r="A62" s="23" t="s">
        <v>6</v>
      </c>
      <c r="B62" s="24" t="s">
        <v>7</v>
      </c>
      <c r="C62" s="25" t="s">
        <v>8</v>
      </c>
      <c r="D62" s="25" t="s">
        <v>9</v>
      </c>
      <c r="E62" s="25" t="s">
        <v>10</v>
      </c>
      <c r="F62" s="25" t="s">
        <v>11</v>
      </c>
      <c r="G62" s="25" t="s">
        <v>12</v>
      </c>
      <c r="H62" s="25" t="s">
        <v>13</v>
      </c>
      <c r="I62" s="25" t="s">
        <v>14</v>
      </c>
      <c r="J62" s="25" t="s">
        <v>15</v>
      </c>
      <c r="K62" s="25" t="s">
        <v>19</v>
      </c>
    </row>
    <row r="63" spans="1:11" ht="21" customHeight="1" thickTop="1">
      <c r="A63" s="42" t="s">
        <v>21</v>
      </c>
      <c r="B63" s="39">
        <v>184</v>
      </c>
      <c r="C63" s="39">
        <f>B63</f>
        <v>184</v>
      </c>
      <c r="D63" s="39">
        <f>B63</f>
        <v>184</v>
      </c>
      <c r="E63" s="39">
        <f>B63</f>
        <v>184</v>
      </c>
      <c r="F63" s="39">
        <f>B63</f>
        <v>184</v>
      </c>
      <c r="G63" s="39">
        <f>B63</f>
        <v>184</v>
      </c>
      <c r="H63" s="39">
        <f>B63</f>
        <v>184</v>
      </c>
      <c r="I63" s="39">
        <f>B63</f>
        <v>184</v>
      </c>
      <c r="J63" s="39">
        <f>B63</f>
        <v>184</v>
      </c>
      <c r="K63" s="39">
        <f>B63</f>
        <v>184</v>
      </c>
    </row>
    <row r="64" spans="1:11" ht="64.5" customHeight="1">
      <c r="A64" s="32" t="s">
        <v>18</v>
      </c>
      <c r="B64" s="40">
        <f>B27</f>
        <v>478</v>
      </c>
      <c r="C64" s="40">
        <f t="shared" ref="C64:K64" si="2">C27</f>
        <v>520</v>
      </c>
      <c r="D64" s="40">
        <f t="shared" si="2"/>
        <v>595</v>
      </c>
      <c r="E64" s="40">
        <f t="shared" si="2"/>
        <v>684</v>
      </c>
      <c r="F64" s="40">
        <f t="shared" si="2"/>
        <v>704</v>
      </c>
      <c r="G64" s="40">
        <f t="shared" si="2"/>
        <v>777</v>
      </c>
      <c r="H64" s="40">
        <f t="shared" si="2"/>
        <v>887</v>
      </c>
      <c r="I64" s="40">
        <f t="shared" si="2"/>
        <v>934</v>
      </c>
      <c r="J64" s="40">
        <f t="shared" si="2"/>
        <v>1084</v>
      </c>
      <c r="K64" s="40">
        <f t="shared" si="2"/>
        <v>1155</v>
      </c>
    </row>
    <row r="65" spans="1:13">
      <c r="A65" s="50" t="s">
        <v>28</v>
      </c>
      <c r="B65" s="35"/>
      <c r="C65" s="36"/>
      <c r="D65" s="36"/>
      <c r="E65" s="37"/>
      <c r="F65" s="37"/>
      <c r="G65" s="37"/>
      <c r="H65" s="38"/>
      <c r="I65" s="38"/>
      <c r="J65" s="38"/>
      <c r="K65" s="38"/>
    </row>
    <row r="66" spans="1:13" ht="70.5" customHeight="1">
      <c r="A66" s="51" t="s">
        <v>29</v>
      </c>
      <c r="B66" s="52">
        <v>630</v>
      </c>
      <c r="C66" s="52">
        <v>742</v>
      </c>
      <c r="D66" s="52">
        <v>825</v>
      </c>
      <c r="E66" s="52">
        <v>1004</v>
      </c>
      <c r="F66" s="52">
        <v>1195</v>
      </c>
      <c r="G66" s="52">
        <v>1366</v>
      </c>
      <c r="H66" s="52">
        <v>1520</v>
      </c>
      <c r="I66" s="52">
        <v>1646</v>
      </c>
      <c r="J66" s="52">
        <v>1760</v>
      </c>
      <c r="K66" s="52">
        <v>1852</v>
      </c>
    </row>
    <row r="67" spans="1:13" ht="27" customHeight="1">
      <c r="A67" s="32" t="s">
        <v>22</v>
      </c>
      <c r="B67" s="40">
        <v>190</v>
      </c>
      <c r="C67" s="40">
        <f>B67</f>
        <v>190</v>
      </c>
      <c r="D67" s="40">
        <f>B67</f>
        <v>190</v>
      </c>
      <c r="E67" s="40">
        <f>B67</f>
        <v>190</v>
      </c>
      <c r="F67" s="40">
        <f>B67</f>
        <v>190</v>
      </c>
      <c r="G67" s="40">
        <f>B67</f>
        <v>190</v>
      </c>
      <c r="H67" s="40">
        <f>B67</f>
        <v>190</v>
      </c>
      <c r="I67" s="40">
        <f>B67</f>
        <v>190</v>
      </c>
      <c r="J67" s="40">
        <f>B67</f>
        <v>190</v>
      </c>
      <c r="K67" s="40">
        <f>B67</f>
        <v>190</v>
      </c>
    </row>
    <row r="68" spans="1:13" ht="37.5" customHeight="1">
      <c r="A68" s="32" t="s">
        <v>23</v>
      </c>
      <c r="B68" s="40">
        <v>85</v>
      </c>
      <c r="C68" s="40">
        <f>B68</f>
        <v>85</v>
      </c>
      <c r="D68" s="40">
        <f>B68</f>
        <v>85</v>
      </c>
      <c r="E68" s="40">
        <f>B68</f>
        <v>85</v>
      </c>
      <c r="F68" s="40">
        <f>B68</f>
        <v>85</v>
      </c>
      <c r="G68" s="40">
        <f>B68</f>
        <v>85</v>
      </c>
      <c r="H68" s="40">
        <f>B68</f>
        <v>85</v>
      </c>
      <c r="I68" s="40">
        <f>B68</f>
        <v>85</v>
      </c>
      <c r="J68" s="40">
        <f>B68</f>
        <v>85</v>
      </c>
      <c r="K68" s="40">
        <f>B68</f>
        <v>85</v>
      </c>
    </row>
    <row r="69" spans="1:13" ht="27.75" customHeight="1">
      <c r="A69" s="32" t="s">
        <v>27</v>
      </c>
      <c r="B69" s="40">
        <v>46.23</v>
      </c>
      <c r="C69" s="40">
        <v>46.23</v>
      </c>
      <c r="D69" s="40">
        <v>46.23</v>
      </c>
      <c r="E69" s="40">
        <v>46.23</v>
      </c>
      <c r="F69" s="40">
        <v>46.23</v>
      </c>
      <c r="G69" s="40">
        <v>46.23</v>
      </c>
      <c r="H69" s="40">
        <v>46.23</v>
      </c>
      <c r="I69" s="40">
        <v>46.23</v>
      </c>
      <c r="J69" s="40">
        <v>46.23</v>
      </c>
      <c r="K69" s="40">
        <v>46.23</v>
      </c>
    </row>
    <row r="70" spans="1:13" ht="51" customHeight="1">
      <c r="A70" s="32" t="s">
        <v>32</v>
      </c>
      <c r="B70" s="40">
        <v>330</v>
      </c>
      <c r="C70" s="40">
        <f>B70</f>
        <v>330</v>
      </c>
      <c r="D70" s="40">
        <f>B70</f>
        <v>330</v>
      </c>
      <c r="E70" s="40">
        <f>B70</f>
        <v>330</v>
      </c>
      <c r="F70" s="40">
        <f>B70</f>
        <v>330</v>
      </c>
      <c r="G70" s="40">
        <f>B70</f>
        <v>330</v>
      </c>
      <c r="H70" s="40">
        <f>B70</f>
        <v>330</v>
      </c>
      <c r="I70" s="40">
        <f>B70</f>
        <v>330</v>
      </c>
      <c r="J70" s="40">
        <f>B70</f>
        <v>330</v>
      </c>
      <c r="K70" s="40">
        <f>B70</f>
        <v>330</v>
      </c>
      <c r="M70" s="44"/>
    </row>
    <row r="71" spans="1:13">
      <c r="A71" s="33" t="s">
        <v>30</v>
      </c>
      <c r="B71" s="35"/>
      <c r="C71" s="36"/>
      <c r="D71" s="36"/>
      <c r="E71" s="37"/>
      <c r="F71" s="37"/>
      <c r="G71" s="37"/>
      <c r="H71" s="38"/>
      <c r="I71" s="38"/>
      <c r="J71" s="38"/>
      <c r="K71" s="38"/>
    </row>
    <row r="72" spans="1:13" ht="33.75">
      <c r="A72" s="34" t="s">
        <v>40</v>
      </c>
      <c r="B72" s="41">
        <v>1232</v>
      </c>
      <c r="C72" s="41">
        <v>1482</v>
      </c>
      <c r="D72" s="41">
        <v>1732</v>
      </c>
      <c r="E72" s="41">
        <v>2232</v>
      </c>
      <c r="F72" s="41">
        <v>2732</v>
      </c>
      <c r="G72" s="41">
        <v>3864</v>
      </c>
      <c r="H72" s="41">
        <v>4364</v>
      </c>
      <c r="I72" s="41">
        <v>5996</v>
      </c>
      <c r="J72" s="41">
        <v>6996</v>
      </c>
      <c r="K72" s="41">
        <v>7996</v>
      </c>
    </row>
    <row r="73" spans="1:13">
      <c r="A73" s="33" t="s">
        <v>42</v>
      </c>
      <c r="B73" s="35"/>
      <c r="C73" s="36"/>
      <c r="D73" s="36"/>
      <c r="E73" s="37"/>
      <c r="F73" s="37"/>
      <c r="G73" s="37"/>
      <c r="H73" s="38"/>
      <c r="I73" s="38"/>
      <c r="J73" s="38"/>
      <c r="K73" s="38"/>
    </row>
    <row r="74" spans="1:13" ht="37.5" customHeight="1">
      <c r="A74" s="34" t="s">
        <v>44</v>
      </c>
      <c r="B74" s="41">
        <v>985.5</v>
      </c>
      <c r="C74" s="41">
        <v>1059.75</v>
      </c>
      <c r="D74" s="41">
        <v>1134</v>
      </c>
      <c r="E74" s="41">
        <v>1957.5</v>
      </c>
      <c r="F74" s="41">
        <v>2106</v>
      </c>
      <c r="G74" s="41">
        <v>2254.5</v>
      </c>
      <c r="H74" s="41">
        <v>3078</v>
      </c>
      <c r="I74" s="41">
        <v>3375</v>
      </c>
      <c r="J74" s="41">
        <v>3672</v>
      </c>
      <c r="K74" s="41">
        <v>3969</v>
      </c>
      <c r="M74" s="45"/>
    </row>
    <row r="75" spans="1:13">
      <c r="A75" s="33" t="s">
        <v>41</v>
      </c>
      <c r="B75" s="35"/>
      <c r="C75" s="36"/>
      <c r="D75" s="36"/>
      <c r="E75" s="37"/>
      <c r="F75" s="37"/>
      <c r="G75" s="37"/>
      <c r="H75" s="38"/>
      <c r="I75" s="38"/>
      <c r="J75" s="38"/>
      <c r="K75" s="38"/>
    </row>
    <row r="76" spans="1:13" ht="52.5" customHeight="1">
      <c r="A76" s="34" t="s">
        <v>43</v>
      </c>
      <c r="B76" s="41">
        <v>345</v>
      </c>
      <c r="C76" s="41">
        <v>448</v>
      </c>
      <c r="D76" s="41">
        <v>630</v>
      </c>
      <c r="E76" s="41">
        <v>930</v>
      </c>
      <c r="F76" s="41">
        <v>1220</v>
      </c>
      <c r="G76" s="41">
        <v>1525</v>
      </c>
      <c r="H76" s="41">
        <v>1807</v>
      </c>
      <c r="I76" s="41">
        <v>2360</v>
      </c>
      <c r="J76" s="41">
        <v>2927</v>
      </c>
      <c r="K76" s="41">
        <v>3513</v>
      </c>
      <c r="M76" s="45"/>
    </row>
    <row r="77" spans="1:13" s="3" customFormat="1">
      <c r="B77" s="17"/>
      <c r="C77" s="18"/>
      <c r="D77" s="18"/>
      <c r="E77" s="17"/>
      <c r="F77" s="19"/>
      <c r="G77" s="17"/>
      <c r="H77" s="22"/>
    </row>
    <row r="78" spans="1:13" s="3" customFormat="1">
      <c r="A78" s="17"/>
      <c r="B78" s="17"/>
      <c r="C78" s="17"/>
      <c r="D78" s="21"/>
      <c r="E78" s="17"/>
      <c r="F78" s="17"/>
    </row>
    <row r="79" spans="1:13" s="3" customFormat="1">
      <c r="A79" s="17"/>
      <c r="B79" s="17"/>
      <c r="C79" s="17"/>
      <c r="D79" s="20"/>
      <c r="E79" s="17"/>
      <c r="F79" s="17"/>
    </row>
    <row r="80" spans="1:13" s="3" customFormat="1">
      <c r="B80" s="17"/>
      <c r="C80" s="17"/>
      <c r="D80" s="17"/>
      <c r="E80" s="17"/>
      <c r="F80" s="17"/>
      <c r="G80" s="17"/>
    </row>
    <row r="81" spans="1:7" s="3" customFormat="1">
      <c r="B81" s="17"/>
      <c r="C81" s="17"/>
      <c r="D81" s="17"/>
      <c r="E81" s="17"/>
      <c r="F81" s="17"/>
      <c r="G81" s="17"/>
    </row>
    <row r="82" spans="1:7" s="3" customFormat="1">
      <c r="B82" s="17"/>
      <c r="C82" s="17"/>
      <c r="D82" s="17"/>
      <c r="E82" s="17"/>
      <c r="F82" s="17"/>
      <c r="G82" s="17"/>
    </row>
    <row r="83" spans="1:7" s="3" customFormat="1">
      <c r="B83" s="17"/>
      <c r="C83" s="17"/>
      <c r="D83" s="17"/>
      <c r="E83" s="17"/>
      <c r="F83" s="17"/>
      <c r="G83" s="17"/>
    </row>
    <row r="84" spans="1:7" s="3" customFormat="1">
      <c r="B84" s="17"/>
      <c r="C84" s="17"/>
      <c r="D84" s="17"/>
      <c r="E84" s="17"/>
      <c r="F84" s="17"/>
      <c r="G84" s="17"/>
    </row>
    <row r="85" spans="1:7" s="3" customFormat="1">
      <c r="A85" s="5"/>
      <c r="B85" s="17"/>
      <c r="C85" s="17"/>
      <c r="D85" s="17"/>
      <c r="E85" s="17"/>
      <c r="F85" s="17"/>
      <c r="G85" s="17"/>
    </row>
    <row r="86" spans="1:7" s="3" customFormat="1">
      <c r="A86" s="5"/>
      <c r="B86" s="17"/>
      <c r="C86" s="17"/>
      <c r="D86" s="17"/>
      <c r="E86" s="17"/>
      <c r="F86" s="17"/>
      <c r="G86" s="17"/>
    </row>
    <row r="87" spans="1:7" s="3" customFormat="1">
      <c r="A87" s="5"/>
      <c r="B87" s="17"/>
      <c r="C87" s="17"/>
      <c r="D87" s="17"/>
      <c r="E87" s="17"/>
      <c r="F87" s="17"/>
      <c r="G87" s="17"/>
    </row>
    <row r="88" spans="1:7" s="3" customFormat="1">
      <c r="A88" s="5"/>
      <c r="B88" s="17"/>
      <c r="C88" s="17"/>
      <c r="D88" s="17"/>
      <c r="E88" s="17"/>
      <c r="F88" s="17"/>
      <c r="G88" s="17"/>
    </row>
    <row r="89" spans="1:7" s="3" customFormat="1">
      <c r="B89" s="17"/>
      <c r="C89" s="17"/>
      <c r="D89" s="17"/>
      <c r="E89" s="17"/>
      <c r="F89" s="17"/>
      <c r="G89" s="17"/>
    </row>
    <row r="90" spans="1:7" s="3" customFormat="1">
      <c r="B90" s="17"/>
      <c r="C90" s="17"/>
      <c r="D90" s="17"/>
      <c r="E90" s="17"/>
      <c r="F90" s="17"/>
      <c r="G90" s="17"/>
    </row>
    <row r="91" spans="1:7" s="3" customFormat="1">
      <c r="B91" s="17"/>
      <c r="C91" s="17"/>
      <c r="D91" s="17"/>
      <c r="E91" s="17"/>
      <c r="F91" s="17"/>
      <c r="G91" s="17"/>
    </row>
    <row r="92" spans="1:7" s="3" customFormat="1">
      <c r="B92" s="17"/>
      <c r="C92" s="17"/>
      <c r="D92" s="17"/>
      <c r="E92" s="17"/>
      <c r="F92" s="17"/>
      <c r="G92" s="17"/>
    </row>
    <row r="93" spans="1:7" s="3" customFormat="1">
      <c r="B93" s="17"/>
      <c r="C93" s="17"/>
      <c r="D93" s="17"/>
      <c r="E93" s="17"/>
      <c r="F93" s="17"/>
      <c r="G93" s="17"/>
    </row>
    <row r="94" spans="1:7" s="3" customFormat="1">
      <c r="B94" s="17"/>
      <c r="C94" s="17"/>
      <c r="D94" s="17"/>
      <c r="E94" s="17"/>
      <c r="F94" s="17"/>
      <c r="G94" s="17"/>
    </row>
    <row r="95" spans="1:7">
      <c r="B95" s="16"/>
      <c r="C95" s="16"/>
      <c r="D95" s="16"/>
      <c r="E95" s="16"/>
      <c r="F95" s="16"/>
      <c r="G95" s="16"/>
    </row>
    <row r="96" spans="1:7">
      <c r="B96" s="16"/>
      <c r="C96" s="16"/>
      <c r="D96" s="16"/>
      <c r="E96" s="16"/>
      <c r="F96" s="16"/>
      <c r="G96" s="16"/>
    </row>
    <row r="97" spans="1:7">
      <c r="B97" s="16"/>
      <c r="C97" s="16"/>
      <c r="D97" s="16"/>
      <c r="E97" s="16"/>
      <c r="F97" s="16"/>
      <c r="G97" s="16"/>
    </row>
    <row r="98" spans="1:7">
      <c r="B98" s="16"/>
      <c r="C98" s="16"/>
      <c r="D98" s="16"/>
      <c r="E98" s="16"/>
      <c r="F98" s="16"/>
      <c r="G98" s="16"/>
    </row>
    <row r="99" spans="1:7">
      <c r="B99" s="16"/>
      <c r="C99" s="16"/>
      <c r="D99" s="16"/>
      <c r="E99" s="16"/>
      <c r="F99" s="16"/>
      <c r="G99" s="16"/>
    </row>
    <row r="100" spans="1:7">
      <c r="B100" s="16"/>
      <c r="C100" s="16"/>
      <c r="D100" s="16"/>
      <c r="E100" s="16"/>
      <c r="F100" s="16"/>
      <c r="G100" s="16"/>
    </row>
    <row r="101" spans="1:7">
      <c r="B101" s="16"/>
      <c r="C101" s="16"/>
      <c r="D101" s="16"/>
      <c r="E101" s="16"/>
      <c r="F101" s="16"/>
      <c r="G101" s="16"/>
    </row>
    <row r="102" spans="1:7">
      <c r="B102" s="16"/>
      <c r="C102" s="16"/>
      <c r="D102" s="16"/>
      <c r="E102" s="16"/>
      <c r="F102" s="16"/>
      <c r="G102" s="16"/>
    </row>
    <row r="103" spans="1:7">
      <c r="B103" s="16"/>
      <c r="C103" s="16"/>
      <c r="D103" s="16"/>
      <c r="E103" s="16"/>
      <c r="F103" s="16"/>
      <c r="G103" s="16"/>
    </row>
    <row r="104" spans="1:7">
      <c r="A104" s="6"/>
      <c r="B104" s="16"/>
      <c r="C104" s="16"/>
      <c r="D104" s="16"/>
      <c r="E104" s="16"/>
      <c r="F104" s="16"/>
      <c r="G104" s="16"/>
    </row>
    <row r="105" spans="1:7">
      <c r="B105" s="16"/>
      <c r="C105" s="16"/>
      <c r="D105" s="16"/>
      <c r="E105" s="16"/>
      <c r="F105" s="16"/>
      <c r="G105" s="16"/>
    </row>
    <row r="106" spans="1:7">
      <c r="B106" s="16"/>
      <c r="C106" s="16"/>
      <c r="D106" s="16"/>
      <c r="E106" s="16"/>
      <c r="F106" s="16"/>
      <c r="G106" s="16"/>
    </row>
    <row r="107" spans="1:7">
      <c r="B107" s="16"/>
      <c r="C107" s="16"/>
      <c r="D107" s="16"/>
      <c r="E107" s="16"/>
      <c r="F107" s="16"/>
      <c r="G107" s="16"/>
    </row>
    <row r="108" spans="1:7">
      <c r="B108" s="16"/>
      <c r="C108" s="16"/>
      <c r="D108" s="16"/>
      <c r="E108" s="16"/>
      <c r="F108" s="16"/>
      <c r="G108" s="16"/>
    </row>
    <row r="109" spans="1:7">
      <c r="B109" s="16"/>
      <c r="C109" s="16"/>
      <c r="D109" s="16"/>
      <c r="E109" s="16"/>
      <c r="F109" s="16"/>
      <c r="G109" s="16"/>
    </row>
    <row r="110" spans="1:7">
      <c r="B110" s="16"/>
      <c r="C110" s="16"/>
      <c r="D110" s="16"/>
      <c r="E110" s="16"/>
      <c r="F110" s="16"/>
      <c r="G110" s="16"/>
    </row>
    <row r="111" spans="1:7">
      <c r="B111" s="16"/>
      <c r="C111" s="16"/>
      <c r="D111" s="16"/>
      <c r="E111" s="16"/>
      <c r="F111" s="16"/>
      <c r="G111" s="16"/>
    </row>
    <row r="112" spans="1:7">
      <c r="B112" s="16"/>
      <c r="C112" s="16"/>
      <c r="D112" s="16"/>
      <c r="E112" s="16"/>
      <c r="F112" s="16"/>
      <c r="G112" s="16"/>
    </row>
    <row r="113" spans="2:7">
      <c r="B113" s="16"/>
      <c r="C113" s="16"/>
      <c r="D113" s="16"/>
      <c r="E113" s="16"/>
      <c r="F113" s="16"/>
      <c r="G113" s="16"/>
    </row>
    <row r="114" spans="2:7">
      <c r="B114" s="16"/>
      <c r="C114" s="16"/>
      <c r="D114" s="16"/>
      <c r="E114" s="16"/>
      <c r="F114" s="16"/>
      <c r="G114" s="16"/>
    </row>
    <row r="115" spans="2:7">
      <c r="B115" s="16"/>
      <c r="C115" s="16"/>
      <c r="D115" s="16"/>
      <c r="E115" s="16"/>
      <c r="F115" s="16"/>
      <c r="G115" s="16"/>
    </row>
    <row r="116" spans="2:7">
      <c r="B116" s="16"/>
      <c r="C116" s="16"/>
      <c r="D116" s="16"/>
      <c r="E116" s="16"/>
      <c r="F116" s="16"/>
      <c r="G116" s="16"/>
    </row>
    <row r="117" spans="2:7">
      <c r="B117" s="16"/>
      <c r="C117" s="16"/>
      <c r="D117" s="16"/>
      <c r="E117" s="16"/>
      <c r="F117" s="16"/>
      <c r="G117" s="16"/>
    </row>
    <row r="118" spans="2:7">
      <c r="B118" s="16"/>
      <c r="C118" s="16"/>
      <c r="D118" s="16"/>
      <c r="E118" s="16"/>
      <c r="F118" s="16"/>
      <c r="G118" s="16"/>
    </row>
    <row r="119" spans="2:7">
      <c r="B119" s="16"/>
      <c r="C119" s="16"/>
      <c r="D119" s="16"/>
      <c r="E119" s="16"/>
      <c r="F119" s="16"/>
      <c r="G119" s="16"/>
    </row>
  </sheetData>
  <phoneticPr fontId="2" type="noConversion"/>
  <pageMargins left="1.1811023622047245" right="0.39370078740157483" top="0.39370078740157483" bottom="0.39370078740157483" header="0" footer="0"/>
  <pageSetup paperSize="9" scale="95" orientation="landscape" horizontalDpi="1200" verticalDpi="1200" r:id="rId1"/>
  <headerFooter alignWithMargins="0">
    <oddHeader>&amp;Cwww.alterecoingenieria.es</oddHeader>
    <oddFooter>&amp;C&amp;6Alternativas Ecologicas Ingenieria Energetica, S.L. CIF.- B84964006. Registro Mercantil de Madrid. Tomo 23842, Folio 170, Seccion 8, Hoja M-427987, Inscripcion 1.</oddFooter>
  </headerFooter>
  <rowBreaks count="3" manualBreakCount="3">
    <brk id="17" max="10" man="1"/>
    <brk id="36" max="10" man="1"/>
    <brk id="54" max="10" man="1"/>
  </rowBreaks>
  <drawing r:id="rId2"/>
</worksheet>
</file>

<file path=xl/worksheets/sheet2.xml><?xml version="1.0" encoding="utf-8"?>
<worksheet xmlns="http://schemas.openxmlformats.org/spreadsheetml/2006/main" xmlns:r="http://schemas.openxmlformats.org/officeDocument/2006/relationships">
  <dimension ref="A2:AA15"/>
  <sheetViews>
    <sheetView workbookViewId="0">
      <selection activeCell="A31" sqref="A31"/>
    </sheetView>
  </sheetViews>
  <sheetFormatPr baseColWidth="10" defaultRowHeight="12.75"/>
  <cols>
    <col min="1" max="1" width="11.7109375" bestFit="1" customWidth="1"/>
    <col min="2" max="2" width="12.5703125" bestFit="1" customWidth="1"/>
    <col min="5" max="5" width="14.42578125" bestFit="1" customWidth="1"/>
    <col min="10" max="10" width="13" bestFit="1" customWidth="1"/>
    <col min="21" max="21" width="11.7109375" bestFit="1" customWidth="1"/>
    <col min="25" max="25" width="17" bestFit="1" customWidth="1"/>
  </cols>
  <sheetData>
    <row r="2" spans="1:27">
      <c r="B2">
        <v>1</v>
      </c>
      <c r="C2">
        <v>2</v>
      </c>
      <c r="D2">
        <v>3</v>
      </c>
      <c r="E2">
        <v>4</v>
      </c>
      <c r="F2">
        <v>5</v>
      </c>
      <c r="G2">
        <v>6</v>
      </c>
      <c r="H2">
        <v>7</v>
      </c>
      <c r="I2">
        <v>8</v>
      </c>
      <c r="J2">
        <v>9</v>
      </c>
      <c r="K2">
        <v>10</v>
      </c>
      <c r="L2">
        <v>11</v>
      </c>
      <c r="M2">
        <v>12</v>
      </c>
      <c r="N2">
        <v>13</v>
      </c>
      <c r="O2">
        <v>14</v>
      </c>
      <c r="P2">
        <v>15</v>
      </c>
      <c r="Q2">
        <v>16</v>
      </c>
      <c r="R2">
        <v>17</v>
      </c>
      <c r="S2">
        <v>18</v>
      </c>
      <c r="T2">
        <v>19</v>
      </c>
      <c r="U2">
        <v>20</v>
      </c>
      <c r="V2">
        <v>21</v>
      </c>
      <c r="W2">
        <v>22</v>
      </c>
      <c r="X2">
        <v>23</v>
      </c>
      <c r="Y2">
        <v>24</v>
      </c>
      <c r="Z2">
        <v>25</v>
      </c>
      <c r="AA2">
        <v>26</v>
      </c>
    </row>
    <row r="3" spans="1:27">
      <c r="M3" t="s">
        <v>58</v>
      </c>
      <c r="O3" t="s">
        <v>47</v>
      </c>
      <c r="Q3" t="s">
        <v>92</v>
      </c>
      <c r="S3" t="s">
        <v>93</v>
      </c>
    </row>
    <row r="4" spans="1:27" ht="13.5" thickBot="1">
      <c r="C4" t="s">
        <v>51</v>
      </c>
      <c r="D4" t="s">
        <v>49</v>
      </c>
      <c r="E4" t="s">
        <v>50</v>
      </c>
      <c r="F4" t="s">
        <v>89</v>
      </c>
      <c r="G4" t="s">
        <v>52</v>
      </c>
      <c r="H4" t="s">
        <v>53</v>
      </c>
      <c r="I4" t="s">
        <v>54</v>
      </c>
      <c r="J4" t="s">
        <v>55</v>
      </c>
      <c r="K4" t="s">
        <v>56</v>
      </c>
      <c r="L4" t="s">
        <v>57</v>
      </c>
      <c r="M4" t="s">
        <v>60</v>
      </c>
      <c r="N4" t="s">
        <v>59</v>
      </c>
      <c r="O4" t="s">
        <v>61</v>
      </c>
      <c r="P4" t="s">
        <v>62</v>
      </c>
      <c r="Q4" t="s">
        <v>90</v>
      </c>
      <c r="R4" t="s">
        <v>91</v>
      </c>
      <c r="S4" t="s">
        <v>94</v>
      </c>
      <c r="T4" t="s">
        <v>95</v>
      </c>
      <c r="U4" s="45" t="s">
        <v>63</v>
      </c>
      <c r="V4" s="45" t="s">
        <v>64</v>
      </c>
      <c r="W4" s="45" t="s">
        <v>65</v>
      </c>
      <c r="X4" s="45" t="s">
        <v>104</v>
      </c>
      <c r="Y4" s="45" t="s">
        <v>105</v>
      </c>
      <c r="Z4" s="45" t="s">
        <v>106</v>
      </c>
      <c r="AA4" s="45" t="s">
        <v>107</v>
      </c>
    </row>
    <row r="5" spans="1:27" ht="18.600000000000001" customHeight="1" thickTop="1" thickBot="1">
      <c r="A5" s="45" t="s">
        <v>71</v>
      </c>
      <c r="B5" s="24" t="s">
        <v>7</v>
      </c>
      <c r="C5" s="39">
        <v>655</v>
      </c>
      <c r="D5">
        <v>220</v>
      </c>
      <c r="E5">
        <v>455</v>
      </c>
      <c r="F5">
        <v>340</v>
      </c>
      <c r="G5">
        <v>526</v>
      </c>
      <c r="H5">
        <v>615</v>
      </c>
      <c r="I5">
        <v>363</v>
      </c>
      <c r="J5">
        <v>310</v>
      </c>
      <c r="K5">
        <v>70</v>
      </c>
      <c r="L5">
        <v>220</v>
      </c>
      <c r="M5">
        <v>750</v>
      </c>
      <c r="N5">
        <v>450</v>
      </c>
      <c r="O5">
        <v>450</v>
      </c>
      <c r="P5">
        <v>135</v>
      </c>
      <c r="Q5">
        <v>1135.8</v>
      </c>
      <c r="R5">
        <v>285</v>
      </c>
      <c r="S5">
        <v>5695.3</v>
      </c>
      <c r="T5">
        <v>590</v>
      </c>
      <c r="U5">
        <v>1110</v>
      </c>
      <c r="V5">
        <v>2154</v>
      </c>
      <c r="W5">
        <v>1200</v>
      </c>
      <c r="X5">
        <v>1620</v>
      </c>
      <c r="Y5">
        <v>875</v>
      </c>
      <c r="Z5">
        <v>1200</v>
      </c>
      <c r="AA5">
        <v>750</v>
      </c>
    </row>
    <row r="6" spans="1:27" ht="14.25" thickTop="1" thickBot="1">
      <c r="A6" s="45" t="s">
        <v>72</v>
      </c>
      <c r="B6" s="25" t="s">
        <v>8</v>
      </c>
      <c r="C6" s="39">
        <v>655</v>
      </c>
      <c r="D6">
        <v>220</v>
      </c>
      <c r="E6">
        <v>455</v>
      </c>
      <c r="F6">
        <v>340</v>
      </c>
      <c r="G6">
        <v>572</v>
      </c>
      <c r="H6">
        <v>615</v>
      </c>
      <c r="I6">
        <v>363</v>
      </c>
      <c r="J6">
        <v>310</v>
      </c>
      <c r="K6">
        <v>70</v>
      </c>
      <c r="L6">
        <v>220</v>
      </c>
      <c r="M6">
        <v>750</v>
      </c>
      <c r="N6">
        <v>450</v>
      </c>
      <c r="O6">
        <v>450</v>
      </c>
      <c r="P6">
        <v>135</v>
      </c>
      <c r="Q6">
        <v>1451.3</v>
      </c>
      <c r="R6">
        <v>285</v>
      </c>
      <c r="S6">
        <v>7223.84</v>
      </c>
      <c r="T6">
        <v>590</v>
      </c>
      <c r="U6">
        <v>1110</v>
      </c>
      <c r="V6">
        <v>2200</v>
      </c>
      <c r="W6">
        <v>1200</v>
      </c>
      <c r="X6">
        <v>1620</v>
      </c>
      <c r="Y6">
        <v>875</v>
      </c>
      <c r="Z6">
        <v>1200</v>
      </c>
      <c r="AA6">
        <v>750</v>
      </c>
    </row>
    <row r="7" spans="1:27" ht="14.25" thickTop="1" thickBot="1">
      <c r="A7" s="45" t="s">
        <v>73</v>
      </c>
      <c r="B7" s="25" t="s">
        <v>9</v>
      </c>
      <c r="C7" s="39">
        <v>655</v>
      </c>
      <c r="D7">
        <v>220</v>
      </c>
      <c r="E7">
        <v>455</v>
      </c>
      <c r="F7">
        <v>340</v>
      </c>
      <c r="G7">
        <v>654</v>
      </c>
      <c r="H7">
        <v>615</v>
      </c>
      <c r="I7">
        <v>363</v>
      </c>
      <c r="J7">
        <v>310</v>
      </c>
      <c r="K7">
        <v>70</v>
      </c>
      <c r="L7">
        <v>220</v>
      </c>
      <c r="M7">
        <v>750</v>
      </c>
      <c r="N7">
        <v>450</v>
      </c>
      <c r="O7">
        <v>450</v>
      </c>
      <c r="P7">
        <v>135</v>
      </c>
      <c r="Q7">
        <v>1829.9</v>
      </c>
      <c r="R7">
        <v>285</v>
      </c>
      <c r="S7">
        <v>7797.05</v>
      </c>
      <c r="T7">
        <v>590</v>
      </c>
      <c r="U7">
        <v>1110</v>
      </c>
      <c r="V7">
        <v>2282</v>
      </c>
      <c r="W7">
        <v>1200</v>
      </c>
      <c r="X7">
        <v>1620</v>
      </c>
      <c r="Y7">
        <v>875</v>
      </c>
      <c r="Z7">
        <v>1200</v>
      </c>
      <c r="AA7">
        <v>750</v>
      </c>
    </row>
    <row r="8" spans="1:27" ht="14.25" thickTop="1" thickBot="1">
      <c r="A8" s="57"/>
      <c r="B8" s="25" t="s">
        <v>10</v>
      </c>
      <c r="C8" s="39">
        <v>655</v>
      </c>
      <c r="D8">
        <v>220</v>
      </c>
      <c r="E8">
        <v>455</v>
      </c>
      <c r="F8">
        <v>340</v>
      </c>
      <c r="G8">
        <v>752</v>
      </c>
      <c r="H8">
        <v>615</v>
      </c>
      <c r="I8">
        <v>363</v>
      </c>
      <c r="J8">
        <v>310</v>
      </c>
      <c r="K8">
        <v>70</v>
      </c>
      <c r="L8">
        <v>220</v>
      </c>
      <c r="M8">
        <v>750</v>
      </c>
      <c r="N8">
        <v>450</v>
      </c>
      <c r="O8">
        <v>450</v>
      </c>
      <c r="P8">
        <v>135</v>
      </c>
      <c r="Q8">
        <v>2524</v>
      </c>
      <c r="R8">
        <v>285</v>
      </c>
      <c r="S8">
        <v>10848.26</v>
      </c>
      <c r="T8">
        <v>590</v>
      </c>
      <c r="U8">
        <v>1110</v>
      </c>
      <c r="V8">
        <v>2380</v>
      </c>
      <c r="W8">
        <v>1200</v>
      </c>
      <c r="X8">
        <v>1620</v>
      </c>
      <c r="Y8">
        <v>875</v>
      </c>
      <c r="Z8">
        <v>1200</v>
      </c>
      <c r="AA8">
        <v>750</v>
      </c>
    </row>
    <row r="9" spans="1:27" ht="14.25" thickTop="1" thickBot="1">
      <c r="A9" s="45" t="s">
        <v>63</v>
      </c>
      <c r="B9" s="25" t="s">
        <v>11</v>
      </c>
      <c r="C9" s="39">
        <v>655</v>
      </c>
      <c r="D9">
        <v>220</v>
      </c>
      <c r="E9">
        <v>455</v>
      </c>
      <c r="F9">
        <v>340</v>
      </c>
      <c r="G9">
        <v>774</v>
      </c>
      <c r="H9">
        <v>615</v>
      </c>
      <c r="I9">
        <v>363</v>
      </c>
      <c r="J9">
        <v>310</v>
      </c>
      <c r="K9">
        <v>70</v>
      </c>
      <c r="L9">
        <v>220</v>
      </c>
      <c r="M9">
        <v>750</v>
      </c>
      <c r="N9">
        <v>450</v>
      </c>
      <c r="O9">
        <v>450</v>
      </c>
      <c r="P9">
        <v>135</v>
      </c>
      <c r="Q9">
        <v>2902.6</v>
      </c>
      <c r="R9">
        <v>285</v>
      </c>
      <c r="S9">
        <v>11612.53</v>
      </c>
      <c r="T9">
        <v>590</v>
      </c>
      <c r="U9">
        <v>1110</v>
      </c>
      <c r="V9">
        <v>2402</v>
      </c>
      <c r="W9">
        <v>1200</v>
      </c>
      <c r="X9">
        <v>1620</v>
      </c>
      <c r="Y9">
        <v>875</v>
      </c>
      <c r="Z9">
        <v>1200</v>
      </c>
      <c r="AA9">
        <v>750</v>
      </c>
    </row>
    <row r="10" spans="1:27" ht="14.25" thickTop="1" thickBot="1">
      <c r="A10" s="45" t="s">
        <v>64</v>
      </c>
      <c r="B10" s="25" t="s">
        <v>12</v>
      </c>
      <c r="C10" s="39">
        <v>655</v>
      </c>
      <c r="D10">
        <v>220</v>
      </c>
      <c r="E10">
        <v>455</v>
      </c>
      <c r="F10">
        <v>340</v>
      </c>
      <c r="G10">
        <v>854</v>
      </c>
      <c r="H10">
        <v>615</v>
      </c>
      <c r="I10">
        <v>363</v>
      </c>
      <c r="J10">
        <v>310</v>
      </c>
      <c r="K10">
        <v>70</v>
      </c>
      <c r="L10">
        <v>220</v>
      </c>
      <c r="M10">
        <v>750</v>
      </c>
      <c r="N10">
        <v>450</v>
      </c>
      <c r="O10">
        <v>450</v>
      </c>
      <c r="P10">
        <v>135</v>
      </c>
      <c r="Q10">
        <v>3344.3</v>
      </c>
      <c r="R10">
        <v>285</v>
      </c>
      <c r="S10">
        <v>12758.94</v>
      </c>
      <c r="T10">
        <v>590</v>
      </c>
      <c r="U10">
        <v>1110</v>
      </c>
      <c r="V10">
        <v>2482</v>
      </c>
      <c r="W10">
        <v>1200</v>
      </c>
      <c r="X10">
        <v>1620</v>
      </c>
      <c r="Y10">
        <v>875</v>
      </c>
      <c r="Z10">
        <v>1200</v>
      </c>
      <c r="AA10">
        <v>750</v>
      </c>
    </row>
    <row r="11" spans="1:27" ht="14.25" thickTop="1" thickBot="1">
      <c r="A11" s="45" t="s">
        <v>65</v>
      </c>
      <c r="B11" s="25" t="s">
        <v>13</v>
      </c>
      <c r="C11" s="39">
        <v>655</v>
      </c>
      <c r="D11">
        <v>220</v>
      </c>
      <c r="E11">
        <v>455</v>
      </c>
      <c r="F11">
        <v>340</v>
      </c>
      <c r="G11">
        <v>975</v>
      </c>
      <c r="H11">
        <v>615</v>
      </c>
      <c r="I11">
        <v>363</v>
      </c>
      <c r="J11">
        <v>310</v>
      </c>
      <c r="K11">
        <v>70</v>
      </c>
      <c r="L11">
        <v>220</v>
      </c>
      <c r="M11">
        <v>750</v>
      </c>
      <c r="N11">
        <v>450</v>
      </c>
      <c r="O11">
        <v>450</v>
      </c>
      <c r="P11">
        <v>135</v>
      </c>
      <c r="Q11">
        <v>3849.1</v>
      </c>
      <c r="R11">
        <v>285</v>
      </c>
      <c r="S11">
        <v>15967.48</v>
      </c>
      <c r="T11">
        <v>590</v>
      </c>
      <c r="U11">
        <v>1110</v>
      </c>
      <c r="V11">
        <v>2603</v>
      </c>
      <c r="W11">
        <v>1200</v>
      </c>
      <c r="X11">
        <v>1620</v>
      </c>
      <c r="Y11">
        <v>875</v>
      </c>
      <c r="Z11">
        <v>1200</v>
      </c>
      <c r="AA11">
        <v>750</v>
      </c>
    </row>
    <row r="12" spans="1:27" ht="14.25" thickTop="1" thickBot="1">
      <c r="A12" s="45" t="s">
        <v>104</v>
      </c>
      <c r="B12" s="25" t="s">
        <v>14</v>
      </c>
      <c r="C12" s="39">
        <v>655</v>
      </c>
      <c r="D12">
        <v>220</v>
      </c>
      <c r="E12">
        <v>455</v>
      </c>
      <c r="F12">
        <v>340</v>
      </c>
      <c r="G12">
        <v>1027</v>
      </c>
      <c r="H12">
        <v>615</v>
      </c>
      <c r="I12">
        <v>363</v>
      </c>
      <c r="J12">
        <v>310</v>
      </c>
      <c r="K12">
        <v>70</v>
      </c>
      <c r="L12">
        <v>220</v>
      </c>
      <c r="M12">
        <v>750</v>
      </c>
      <c r="N12">
        <v>450</v>
      </c>
      <c r="O12">
        <v>450</v>
      </c>
      <c r="P12">
        <v>135</v>
      </c>
      <c r="Q12">
        <v>4921.8</v>
      </c>
      <c r="R12">
        <v>285</v>
      </c>
      <c r="S12">
        <v>18632.16</v>
      </c>
      <c r="T12">
        <v>590</v>
      </c>
      <c r="U12">
        <v>1110</v>
      </c>
      <c r="V12">
        <v>2655</v>
      </c>
      <c r="W12">
        <v>1200</v>
      </c>
      <c r="X12">
        <v>1620</v>
      </c>
      <c r="Y12">
        <v>875</v>
      </c>
      <c r="Z12">
        <v>1200</v>
      </c>
      <c r="AA12">
        <v>750</v>
      </c>
    </row>
    <row r="13" spans="1:27" ht="14.25" thickTop="1" thickBot="1">
      <c r="B13" s="25" t="s">
        <v>15</v>
      </c>
      <c r="C13" s="39">
        <v>655</v>
      </c>
      <c r="D13">
        <v>220</v>
      </c>
      <c r="E13">
        <v>455</v>
      </c>
      <c r="F13">
        <v>340</v>
      </c>
      <c r="G13">
        <v>1192</v>
      </c>
      <c r="H13">
        <v>615</v>
      </c>
      <c r="I13">
        <v>363</v>
      </c>
      <c r="J13">
        <v>310</v>
      </c>
      <c r="K13">
        <v>70</v>
      </c>
      <c r="L13">
        <v>220</v>
      </c>
      <c r="M13">
        <v>750</v>
      </c>
      <c r="N13">
        <v>450</v>
      </c>
      <c r="O13">
        <v>450</v>
      </c>
      <c r="P13">
        <v>135</v>
      </c>
      <c r="Q13">
        <v>5994.5</v>
      </c>
      <c r="R13">
        <v>285</v>
      </c>
      <c r="S13">
        <v>21689.25</v>
      </c>
      <c r="T13">
        <v>590</v>
      </c>
      <c r="U13">
        <v>1110</v>
      </c>
      <c r="V13">
        <v>2820</v>
      </c>
      <c r="W13">
        <v>1200</v>
      </c>
      <c r="X13">
        <v>1620</v>
      </c>
      <c r="Y13">
        <v>875</v>
      </c>
      <c r="Z13">
        <v>1200</v>
      </c>
      <c r="AA13">
        <v>750</v>
      </c>
    </row>
    <row r="14" spans="1:27" ht="14.25" thickTop="1" thickBot="1">
      <c r="B14" s="25" t="s">
        <v>19</v>
      </c>
      <c r="C14" s="39">
        <v>655</v>
      </c>
      <c r="D14">
        <v>220</v>
      </c>
      <c r="E14">
        <v>455</v>
      </c>
      <c r="F14">
        <v>340</v>
      </c>
      <c r="G14">
        <v>1383</v>
      </c>
      <c r="H14">
        <v>615</v>
      </c>
      <c r="I14">
        <v>363</v>
      </c>
      <c r="J14">
        <v>310</v>
      </c>
      <c r="K14">
        <v>70</v>
      </c>
      <c r="L14">
        <v>220</v>
      </c>
      <c r="M14">
        <v>750</v>
      </c>
      <c r="N14">
        <v>450</v>
      </c>
      <c r="O14">
        <v>450</v>
      </c>
      <c r="P14">
        <v>135</v>
      </c>
      <c r="Q14">
        <v>7193.4</v>
      </c>
      <c r="R14">
        <v>285</v>
      </c>
      <c r="S14">
        <v>24619</v>
      </c>
      <c r="T14">
        <v>590</v>
      </c>
      <c r="U14">
        <v>1110</v>
      </c>
      <c r="V14">
        <v>3011</v>
      </c>
      <c r="W14">
        <v>1200</v>
      </c>
      <c r="X14">
        <v>1620</v>
      </c>
      <c r="Y14">
        <v>875</v>
      </c>
      <c r="Z14">
        <v>1200</v>
      </c>
      <c r="AA14">
        <v>750</v>
      </c>
    </row>
    <row r="15" spans="1:27" ht="13.5" thickTop="1"/>
  </sheetData>
  <phoneticPr fontId="2" type="noConversion"/>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dimension ref="A1:Q34"/>
  <sheetViews>
    <sheetView showGridLines="0" tabSelected="1" zoomScale="77" zoomScaleNormal="70" workbookViewId="0">
      <selection activeCell="M25" sqref="M25:P25"/>
    </sheetView>
  </sheetViews>
  <sheetFormatPr baseColWidth="10" defaultRowHeight="12.75"/>
  <cols>
    <col min="1" max="1" width="5.7109375" customWidth="1"/>
    <col min="2" max="2" width="11.42578125" bestFit="1" customWidth="1"/>
    <col min="3" max="3" width="13.7109375" customWidth="1"/>
    <col min="4" max="4" width="9.42578125" bestFit="1" customWidth="1"/>
    <col min="5" max="5" width="13.28515625" customWidth="1"/>
    <col min="6" max="6" width="12.42578125" bestFit="1" customWidth="1"/>
    <col min="7" max="7" width="13.5703125" style="1" bestFit="1" customWidth="1"/>
    <col min="8" max="8" width="13.7109375" customWidth="1"/>
    <col min="9" max="9" width="14.140625" style="1" customWidth="1"/>
    <col min="10" max="10" width="14.7109375" customWidth="1"/>
    <col min="11" max="11" width="14.28515625" customWidth="1"/>
    <col min="12" max="12" width="12.28515625" customWidth="1"/>
    <col min="13" max="13" width="13.5703125" style="1" customWidth="1"/>
    <col min="14" max="14" width="15" style="1" customWidth="1"/>
    <col min="15" max="15" width="14.140625" customWidth="1"/>
    <col min="16" max="16" width="14.42578125" style="1" customWidth="1"/>
    <col min="17" max="17" width="6.7109375" customWidth="1"/>
  </cols>
  <sheetData>
    <row r="1" spans="1:17">
      <c r="A1" s="72"/>
      <c r="B1" s="71"/>
      <c r="C1" s="71"/>
      <c r="D1" s="71"/>
      <c r="E1" s="71"/>
      <c r="F1" s="71"/>
      <c r="G1" s="71"/>
      <c r="H1" s="71"/>
      <c r="I1" s="71"/>
      <c r="J1" s="71"/>
      <c r="K1" s="71"/>
      <c r="L1" s="71"/>
      <c r="M1" s="71"/>
      <c r="N1" s="71"/>
      <c r="O1" s="71"/>
      <c r="P1" s="71"/>
      <c r="Q1" s="72"/>
    </row>
    <row r="2" spans="1:17" s="73" customFormat="1" ht="27" customHeight="1">
      <c r="A2" s="72"/>
      <c r="B2" s="72"/>
      <c r="C2" s="72"/>
      <c r="D2" s="72"/>
      <c r="E2" s="72"/>
      <c r="F2" s="148" t="s">
        <v>76</v>
      </c>
      <c r="G2" s="149"/>
      <c r="H2" s="149"/>
      <c r="I2" s="149"/>
      <c r="J2" s="149"/>
      <c r="K2" s="149"/>
      <c r="L2" s="150"/>
      <c r="M2" s="72"/>
      <c r="N2" s="72"/>
      <c r="O2" s="72"/>
      <c r="P2" s="72"/>
      <c r="Q2" s="72"/>
    </row>
    <row r="3" spans="1:17">
      <c r="A3" s="72"/>
      <c r="B3" s="71"/>
      <c r="C3" s="71"/>
      <c r="D3" s="71"/>
      <c r="E3" s="71"/>
      <c r="F3" s="71"/>
      <c r="G3" s="71"/>
      <c r="H3" s="71"/>
      <c r="I3" s="71"/>
      <c r="J3" s="71"/>
      <c r="K3" s="71"/>
      <c r="L3" s="71"/>
      <c r="M3" s="71"/>
      <c r="N3" s="71"/>
      <c r="O3" s="71"/>
      <c r="P3" s="71"/>
      <c r="Q3" s="72"/>
    </row>
    <row r="4" spans="1:17" s="59" customFormat="1" ht="15.75">
      <c r="A4" s="72"/>
      <c r="B4" s="62"/>
      <c r="C4" s="62"/>
      <c r="D4" s="62"/>
      <c r="E4" s="151" t="s">
        <v>63</v>
      </c>
      <c r="F4" s="151"/>
      <c r="G4" s="151"/>
      <c r="H4" s="152" t="s">
        <v>64</v>
      </c>
      <c r="I4" s="152"/>
      <c r="J4" s="153" t="s">
        <v>65</v>
      </c>
      <c r="K4" s="153"/>
      <c r="L4" s="153"/>
      <c r="M4" s="153"/>
      <c r="N4" s="137" t="s">
        <v>191</v>
      </c>
      <c r="O4" s="138"/>
      <c r="P4" s="139"/>
      <c r="Q4" s="72"/>
    </row>
    <row r="5" spans="1:17" s="65" customFormat="1" ht="15">
      <c r="A5" s="72"/>
      <c r="B5" s="64"/>
      <c r="C5" s="64" t="s">
        <v>69</v>
      </c>
      <c r="D5" s="64" t="s">
        <v>70</v>
      </c>
      <c r="E5" s="78" t="s">
        <v>45</v>
      </c>
      <c r="F5" s="78" t="s">
        <v>68</v>
      </c>
      <c r="G5" s="78" t="s">
        <v>66</v>
      </c>
      <c r="H5" s="79" t="s">
        <v>68</v>
      </c>
      <c r="I5" s="79" t="s">
        <v>66</v>
      </c>
      <c r="J5" s="80" t="s">
        <v>77</v>
      </c>
      <c r="K5" s="80" t="s">
        <v>45</v>
      </c>
      <c r="L5" s="80" t="s">
        <v>74</v>
      </c>
      <c r="M5" s="80" t="s">
        <v>66</v>
      </c>
      <c r="N5" s="81" t="s">
        <v>77</v>
      </c>
      <c r="O5" s="81" t="s">
        <v>45</v>
      </c>
      <c r="P5" s="81" t="s">
        <v>66</v>
      </c>
      <c r="Q5" s="72"/>
    </row>
    <row r="6" spans="1:17">
      <c r="A6" s="72"/>
      <c r="B6" s="60" t="str">
        <f>IF(C6="","","Depositos")</f>
        <v>Depositos</v>
      </c>
      <c r="C6" s="82" t="s">
        <v>14</v>
      </c>
      <c r="D6" s="83">
        <v>4</v>
      </c>
      <c r="E6" s="84">
        <f>IF($D6="","",(VLOOKUP($C6,Datos!$B$4:$P$14,2,FALSE)+VLOOKUP($C6,Datos!$B$4:$P$14,3,FALSE))*$D6)</f>
        <v>3500</v>
      </c>
      <c r="F6" s="84">
        <f>IF($D6="","",(VLOOKUP($C6,Datos!$B$4:$P$14,2,FALSE)+VLOOKUP($C6,Datos!$B$4:$P$14,4,FALSE))*D6)</f>
        <v>4440</v>
      </c>
      <c r="G6" s="85">
        <f>IF($D6="","",(E6*8+F6*2))</f>
        <v>36880</v>
      </c>
      <c r="H6" s="86">
        <f>IF($D6="","",(VLOOKUP($C6,Datos!$B$4:$P$14,5,FALSE)+VLOOKUP($C6,Datos!$B$4:$P$14,6,FALSE)+VLOOKUP($C6,Datos!$B$4:$P$14,7,FALSE)+VLOOKUP($C6,Datos!$B$4:$P$14,8,FALSE)+VLOOKUP($C6,Datos!$B$4:$P$14,9,FALSE))*$D6)</f>
        <v>10620</v>
      </c>
      <c r="I6" s="87">
        <f>IF($D6="","",H6*2)</f>
        <v>21240</v>
      </c>
      <c r="J6" s="88">
        <f>IF($D6="","",(VLOOKUP($C6,Datos!$B$4:$P$14,5,FALSE)+VLOOKUP($C6,Datos!$B$4:$P$14,6,FALSE)+VLOOKUP($C6,Datos!$B$4:$P$14,7,FALSE)+VLOOKUP($C6,Datos!$B$4:$P$14,8,FALSE)+VLOOKUP($C6,Datos!$B$4:$P$14,9,FALSE))*$D6)</f>
        <v>10620</v>
      </c>
      <c r="K6" s="88">
        <f>IF($D6="","",(VLOOKUP($C6,Datos!$B$4:$P$14,12,FALSE)))</f>
        <v>750</v>
      </c>
      <c r="L6" s="88">
        <f>IF($D6="","",(VLOOKUP($C6,Datos!$B$4:$P$14,13,FALSE)+K6))</f>
        <v>1200</v>
      </c>
      <c r="M6" s="89">
        <f>IF($D6="","",K6*7+L6*3+J6)</f>
        <v>19470</v>
      </c>
      <c r="N6" s="90">
        <f>IF($D6="","",(VLOOKUP($C6,Datos!$B$4:$P$14,5,FALSE)+VLOOKUP($C6,Datos!$B$4:$P$14,6,FALSE)+VLOOKUP($C6,Datos!$B$4:$P$14,7,FALSE)+VLOOKUP($C6,Datos!$B$4:$P$14,8,FALSE)+VLOOKUP($C6,Datos!$B$4:$P$14,9,FALSE))*$D6+650)</f>
        <v>11270</v>
      </c>
      <c r="O6" s="90">
        <f>IF($D6="","",(VLOOKUP($C6,Datos!$B$4:$P$14,15,FALSE))*12)</f>
        <v>1620</v>
      </c>
      <c r="P6" s="91">
        <f>IF($D6="","",O6*10+N6)</f>
        <v>27470</v>
      </c>
      <c r="Q6" s="72"/>
    </row>
    <row r="7" spans="1:17">
      <c r="A7" s="72"/>
      <c r="B7" s="60" t="str">
        <f t="shared" ref="B7:B10" si="0">IF(C7="","","Depositos")</f>
        <v/>
      </c>
      <c r="C7" s="82"/>
      <c r="D7" s="83"/>
      <c r="E7" s="84" t="str">
        <f>IF($D7="","",(VLOOKUP($C7,Datos!$B$4:$P$14,2,FALSE)+VLOOKUP($C7,Datos!$B$4:$P$14,3,FALSE))*$D7)</f>
        <v/>
      </c>
      <c r="F7" s="84" t="str">
        <f>IF($D7="","",(VLOOKUP($C7,Datos!$B$4:$P$14,2,FALSE)+VLOOKUP($C7,Datos!$B$4:$P$14,4,FALSE))*D7)</f>
        <v/>
      </c>
      <c r="G7" s="85" t="str">
        <f t="shared" ref="G7:G10" si="1">IF($D7="","",(E7*8+F7*2))</f>
        <v/>
      </c>
      <c r="H7" s="86" t="str">
        <f>IF($D7="","",(VLOOKUP($C7,Datos!$B$4:$P$14,5,FALSE)+VLOOKUP($C7,Datos!$B$4:$P$14,6,FALSE)+VLOOKUP($C7,Datos!$B$4:$P$14,7,FALSE)+VLOOKUP($C7,Datos!$B$4:$P$14,8,FALSE)+VLOOKUP($C7,Datos!$B$4:$P$14,9,FALSE))*$D7)</f>
        <v/>
      </c>
      <c r="I7" s="87" t="str">
        <f t="shared" ref="I7:I10" si="2">IF($D7="","",H7*2)</f>
        <v/>
      </c>
      <c r="J7" s="88" t="str">
        <f>IF($D7="","",(VLOOKUP($C7,Datos!$B$4:$P$14,5,FALSE)+VLOOKUP($C7,Datos!$B$4:$P$14,6,FALSE)+VLOOKUP($C7,Datos!$B$4:$P$14,7,FALSE)+VLOOKUP($C7,Datos!$B$4:$P$14,8,FALSE)+VLOOKUP($C7,Datos!$B$4:$P$14,9,FALSE))*$D7)</f>
        <v/>
      </c>
      <c r="K7" s="88"/>
      <c r="L7" s="88"/>
      <c r="M7" s="89" t="str">
        <f>IF($D7="","",K7*7+L7*3+J7)</f>
        <v/>
      </c>
      <c r="N7" s="90" t="str">
        <f>IF($D7="","",(VLOOKUP($C7,Datos!$B$4:$P$14,5,FALSE)+VLOOKUP($C7,Datos!$B$4:$P$14,6,FALSE)+VLOOKUP($C7,Datos!$B$4:$P$14,7,FALSE)+VLOOKUP($C7,Datos!$B$4:$P$14,8,FALSE)+VLOOKUP($C7,Datos!$B$4:$P$14,9,FALSE))*$D7)</f>
        <v/>
      </c>
      <c r="O7" s="90"/>
      <c r="P7" s="91" t="str">
        <f>IF($D7="","",O7*10+N7)</f>
        <v/>
      </c>
      <c r="Q7" s="72"/>
    </row>
    <row r="8" spans="1:17">
      <c r="A8" s="72"/>
      <c r="B8" s="60" t="str">
        <f t="shared" si="0"/>
        <v/>
      </c>
      <c r="C8" s="82"/>
      <c r="D8" s="83"/>
      <c r="E8" s="84" t="str">
        <f>IF($D8="","",(VLOOKUP($C8,Datos!$B$4:$P$14,2,FALSE)+VLOOKUP($C8,Datos!$B$4:$P$14,3,FALSE))*$D8)</f>
        <v/>
      </c>
      <c r="F8" s="84" t="str">
        <f>IF($D8="","",(VLOOKUP($C8,Datos!$B$4:$P$14,2,FALSE)+VLOOKUP($C8,Datos!$B$4:$P$14,4,FALSE))*D8)</f>
        <v/>
      </c>
      <c r="G8" s="85" t="str">
        <f t="shared" si="1"/>
        <v/>
      </c>
      <c r="H8" s="86" t="str">
        <f>IF($D8="","",(VLOOKUP($C8,Datos!$B$4:$P$14,5,FALSE)+VLOOKUP($C8,Datos!$B$4:$P$14,6,FALSE)+VLOOKUP($C8,Datos!$B$4:$P$14,7,FALSE)+VLOOKUP($C8,Datos!$B$4:$P$14,8,FALSE)+VLOOKUP($C8,Datos!$B$4:$P$14,9,FALSE))*$D8)</f>
        <v/>
      </c>
      <c r="I8" s="87" t="str">
        <f t="shared" si="2"/>
        <v/>
      </c>
      <c r="J8" s="88" t="str">
        <f>IF($D8="","",(VLOOKUP($C8,Datos!$B$4:$P$14,5,FALSE)+VLOOKUP($C8,Datos!$B$4:$P$14,6,FALSE)+VLOOKUP($C8,Datos!$B$4:$P$14,7,FALSE)+VLOOKUP($C8,Datos!$B$4:$P$14,8,FALSE)+VLOOKUP($C8,Datos!$B$4:$P$14,9,FALSE))*$D8)</f>
        <v/>
      </c>
      <c r="K8" s="88" t="str">
        <f>IF($D8="","",(VLOOKUP($C8,Datos!$B$4:$P$14,12,FALSE)))</f>
        <v/>
      </c>
      <c r="L8" s="88" t="str">
        <f>IF($D8="","",(VLOOKUP($C8,Datos!$B$4:$P$14,13,FALSE)))</f>
        <v/>
      </c>
      <c r="M8" s="89" t="str">
        <f>IF($D8="","",K8*12+L8*3+J8)</f>
        <v/>
      </c>
      <c r="N8" s="90" t="str">
        <f>IF($D8="","",(VLOOKUP($C8,Datos!$B$4:$P$14,5,FALSE)+VLOOKUP($C8,Datos!$B$4:$P$14,6,FALSE)+VLOOKUP($C8,Datos!$B$4:$P$14,7,FALSE)+VLOOKUP($C8,Datos!$B$4:$P$14,8,FALSE)+VLOOKUP($C8,Datos!$B$4:$P$14,9,FALSE))*$D8)</f>
        <v/>
      </c>
      <c r="O8" s="90" t="str">
        <f>IF($D8="","",(VLOOKUP($C8,Datos!$B$4:$P$14,15,FALSE))*12)</f>
        <v/>
      </c>
      <c r="P8" s="91" t="str">
        <f t="shared" ref="P8:P10" si="3">IF($D8="","",O8*10+N8)</f>
        <v/>
      </c>
      <c r="Q8" s="72"/>
    </row>
    <row r="9" spans="1:17">
      <c r="A9" s="72"/>
      <c r="B9" s="60" t="str">
        <f t="shared" si="0"/>
        <v/>
      </c>
      <c r="C9" s="82"/>
      <c r="D9" s="83"/>
      <c r="E9" s="84" t="str">
        <f>IF($D9="","",(VLOOKUP($C9,Datos!$B$4:$P$14,2,FALSE)+VLOOKUP($C9,Datos!$B$4:$P$14,3,FALSE))*$D9)</f>
        <v/>
      </c>
      <c r="F9" s="84" t="str">
        <f>IF($D9="","",(VLOOKUP($C9,Datos!$B$4:$P$14,2,FALSE)+VLOOKUP($C9,Datos!$B$4:$P$14,4,FALSE))*D9)</f>
        <v/>
      </c>
      <c r="G9" s="85" t="str">
        <f t="shared" si="1"/>
        <v/>
      </c>
      <c r="H9" s="86" t="str">
        <f>IF($D9="","",(VLOOKUP($C9,Datos!$B$4:$P$14,5,FALSE)+VLOOKUP($C9,Datos!$B$4:$P$14,6,FALSE)+VLOOKUP($C9,Datos!$B$4:$P$14,7,FALSE)+VLOOKUP($C9,Datos!$B$4:$P$14,8,FALSE)+VLOOKUP($C9,Datos!$B$4:$P$14,9,FALSE))*$D9)</f>
        <v/>
      </c>
      <c r="I9" s="87" t="str">
        <f t="shared" si="2"/>
        <v/>
      </c>
      <c r="J9" s="88" t="str">
        <f>IF($D9="","",(VLOOKUP($C9,Datos!$B$4:$P$14,5,FALSE)+VLOOKUP($C9,Datos!$B$4:$P$14,6,FALSE)+VLOOKUP($C9,Datos!$B$4:$P$14,7,FALSE)+VLOOKUP($C9,Datos!$B$4:$P$14,8,FALSE)+VLOOKUP($C9,Datos!$B$4:$P$14,9,FALSE))*$D9)</f>
        <v/>
      </c>
      <c r="K9" s="88" t="str">
        <f>IF($D9="","",(VLOOKUP($C9,Datos!$B$4:$P$14,12,FALSE)))</f>
        <v/>
      </c>
      <c r="L9" s="88" t="str">
        <f>IF($D9="","",(VLOOKUP($C9,Datos!$B$4:$P$14,13,FALSE)))</f>
        <v/>
      </c>
      <c r="M9" s="89" t="str">
        <f>IF($D9="","",K9*12+L9*3+J9)</f>
        <v/>
      </c>
      <c r="N9" s="90" t="str">
        <f>IF($D9="","",(VLOOKUP($C9,Datos!$B$4:$P$14,5,FALSE)+VLOOKUP($C9,Datos!$B$4:$P$14,6,FALSE)+VLOOKUP($C9,Datos!$B$4:$P$14,7,FALSE)+VLOOKUP($C9,Datos!$B$4:$P$14,8,FALSE)+VLOOKUP($C9,Datos!$B$4:$P$14,9,FALSE))*$D9)</f>
        <v/>
      </c>
      <c r="O9" s="90" t="str">
        <f>IF($D9="","",(VLOOKUP($C9,Datos!$B$4:$P$14,15,FALSE))*12)</f>
        <v/>
      </c>
      <c r="P9" s="91" t="str">
        <f t="shared" si="3"/>
        <v/>
      </c>
      <c r="Q9" s="72"/>
    </row>
    <row r="10" spans="1:17">
      <c r="A10" s="72"/>
      <c r="B10" s="60" t="str">
        <f t="shared" si="0"/>
        <v/>
      </c>
      <c r="C10" s="82"/>
      <c r="D10" s="83"/>
      <c r="E10" s="84" t="str">
        <f>IF($D10="","",(VLOOKUP($C10,Datos!$B$4:$P$14,2,FALSE)+VLOOKUP($C10,Datos!$B$4:$P$14,3,FALSE))*$D10)</f>
        <v/>
      </c>
      <c r="F10" s="84" t="str">
        <f>IF($D10="","",(VLOOKUP($C10,Datos!$B$4:$P$14,2,FALSE)+VLOOKUP($C10,Datos!$B$4:$P$14,4,FALSE))*D10)</f>
        <v/>
      </c>
      <c r="G10" s="85" t="str">
        <f t="shared" si="1"/>
        <v/>
      </c>
      <c r="H10" s="86" t="str">
        <f>IF($D10="","",(VLOOKUP($C10,Datos!$B$4:$P$14,5,FALSE)+VLOOKUP($C10,Datos!$B$4:$P$14,6,FALSE)+VLOOKUP($C10,Datos!$B$4:$P$14,7,FALSE)+VLOOKUP($C10,Datos!$B$4:$P$14,8,FALSE)+VLOOKUP($C10,Datos!$B$4:$P$14,9,FALSE))*$D10)</f>
        <v/>
      </c>
      <c r="I10" s="87" t="str">
        <f t="shared" si="2"/>
        <v/>
      </c>
      <c r="J10" s="88" t="str">
        <f>IF($D10="","",(VLOOKUP($C10,Datos!$B$4:$P$14,5,FALSE)+VLOOKUP($C10,Datos!$B$4:$P$14,6,FALSE)+VLOOKUP($C10,Datos!$B$4:$P$14,7,FALSE)+VLOOKUP($C10,Datos!$B$4:$P$14,8,FALSE)+VLOOKUP($C10,Datos!$B$4:$P$14,9,FALSE))*$D10)</f>
        <v/>
      </c>
      <c r="K10" s="88" t="str">
        <f>IF($D10="","",(VLOOKUP($C10,Datos!$B$4:$P$14,12,FALSE)))</f>
        <v/>
      </c>
      <c r="L10" s="88" t="str">
        <f>IF($D10="","",(VLOOKUP($C10,Datos!$B$4:$P$14,13,FALSE)))</f>
        <v/>
      </c>
      <c r="M10" s="89" t="str">
        <f>IF($D10="","",K10*12+L10*3+J10)</f>
        <v/>
      </c>
      <c r="N10" s="90" t="str">
        <f>IF($D10="","",(VLOOKUP($C10,Datos!$B$4:$P$14,5,FALSE)+VLOOKUP($C10,Datos!$B$4:$P$14,6,FALSE)+VLOOKUP($C10,Datos!$B$4:$P$14,7,FALSE)+VLOOKUP($C10,Datos!$B$4:$P$14,8,FALSE)+VLOOKUP($C10,Datos!$B$4:$P$14,9,FALSE))*$D10)</f>
        <v/>
      </c>
      <c r="O10" s="90" t="str">
        <f>IF($D10="","",(VLOOKUP($C10,Datos!$B$4:$P$14,15,FALSE))*12)</f>
        <v/>
      </c>
      <c r="P10" s="91" t="str">
        <f t="shared" si="3"/>
        <v/>
      </c>
      <c r="Q10" s="72"/>
    </row>
    <row r="11" spans="1:17" s="58" customFormat="1" ht="15.75">
      <c r="A11" s="72"/>
      <c r="B11" s="140" t="str">
        <f>IF(B6="","","Suma:")</f>
        <v>Suma:</v>
      </c>
      <c r="C11" s="140"/>
      <c r="D11" s="140"/>
      <c r="E11" s="92">
        <f t="shared" ref="E11:P11" si="4">IF(E6="","",SUM(E6,E7,E8,E9,E10))</f>
        <v>3500</v>
      </c>
      <c r="F11" s="92">
        <f t="shared" si="4"/>
        <v>4440</v>
      </c>
      <c r="G11" s="93">
        <f t="shared" si="4"/>
        <v>36880</v>
      </c>
      <c r="H11" s="92">
        <f t="shared" si="4"/>
        <v>10620</v>
      </c>
      <c r="I11" s="93">
        <f t="shared" si="4"/>
        <v>21240</v>
      </c>
      <c r="J11" s="92">
        <f>IF(J6="","",SUM(J6,J7,J8,J9,J10))</f>
        <v>10620</v>
      </c>
      <c r="K11" s="92">
        <f>IF(K6="","",SUM(K6,K7,K8,K9,K10))</f>
        <v>750</v>
      </c>
      <c r="L11" s="92">
        <f t="shared" si="4"/>
        <v>1200</v>
      </c>
      <c r="M11" s="93">
        <f t="shared" si="4"/>
        <v>19470</v>
      </c>
      <c r="N11" s="92">
        <f t="shared" si="4"/>
        <v>11270</v>
      </c>
      <c r="O11" s="92">
        <f t="shared" si="4"/>
        <v>1620</v>
      </c>
      <c r="P11" s="93">
        <f t="shared" si="4"/>
        <v>27470</v>
      </c>
      <c r="Q11" s="72"/>
    </row>
    <row r="12" spans="1:17" ht="8.25" customHeight="1">
      <c r="A12" s="72"/>
      <c r="B12" s="63"/>
      <c r="C12" s="63"/>
      <c r="D12" s="63"/>
      <c r="E12" s="84"/>
      <c r="F12" s="84"/>
      <c r="G12" s="85"/>
      <c r="H12" s="86"/>
      <c r="I12" s="87"/>
      <c r="J12" s="88"/>
      <c r="K12" s="88"/>
      <c r="L12" s="88"/>
      <c r="M12" s="89"/>
      <c r="N12" s="90"/>
      <c r="O12" s="90"/>
      <c r="P12" s="91"/>
      <c r="Q12" s="72"/>
    </row>
    <row r="13" spans="1:17" ht="15">
      <c r="A13" s="72"/>
      <c r="B13" s="63"/>
      <c r="C13" s="64" t="s">
        <v>187</v>
      </c>
      <c r="D13" s="64" t="s">
        <v>70</v>
      </c>
      <c r="E13" s="84"/>
      <c r="F13" s="94" t="str">
        <f>IF(F14="","","Rev.3 Años")</f>
        <v>Rev.3 Años</v>
      </c>
      <c r="G13" s="85"/>
      <c r="H13" s="95" t="str">
        <f>IF(H14="","","Rev.3 Años")</f>
        <v>Rev.3 Años</v>
      </c>
      <c r="I13" s="87"/>
      <c r="J13" s="88"/>
      <c r="K13" s="88"/>
      <c r="L13" s="96" t="str">
        <f>IF(L14="","","Rev.3 Años")</f>
        <v>Rev.3 Años</v>
      </c>
      <c r="M13" s="89"/>
      <c r="N13" s="90"/>
      <c r="O13" s="90"/>
      <c r="P13" s="91"/>
      <c r="Q13" s="72"/>
    </row>
    <row r="14" spans="1:17">
      <c r="A14" s="72"/>
      <c r="B14" s="60" t="str">
        <f>IF(D14="","","Tuberías")</f>
        <v>Tuberías</v>
      </c>
      <c r="C14" s="136" t="s">
        <v>71</v>
      </c>
      <c r="D14" s="83">
        <v>4</v>
      </c>
      <c r="E14" s="84"/>
      <c r="F14" s="84">
        <f>IF($D14="","",(VLOOKUP($C$6,Datos!$B$4:$P$14,10,FALSE)*$D14))</f>
        <v>280</v>
      </c>
      <c r="G14" s="85">
        <f>IF($D14="","",F14*3)</f>
        <v>840</v>
      </c>
      <c r="H14" s="86">
        <f>IF($D14="","",(VLOOKUP($C$6,Datos!$B$4:$P$14,10,FALSE)*$D14))</f>
        <v>280</v>
      </c>
      <c r="I14" s="87">
        <f>IF($D14="","",H14*2)</f>
        <v>560</v>
      </c>
      <c r="J14" s="88"/>
      <c r="K14" s="88"/>
      <c r="L14" s="88">
        <f>IF($D14="","",(VLOOKUP($C$6,Datos!$B$4:$P$14,10,FALSE)*$D14))</f>
        <v>280</v>
      </c>
      <c r="M14" s="89">
        <f>IF($D14="","",L14*3)</f>
        <v>840</v>
      </c>
      <c r="N14" s="97"/>
      <c r="O14" s="97"/>
      <c r="P14" s="98" t="str">
        <f>IF(C14="","","Exento")</f>
        <v>Exento</v>
      </c>
      <c r="Q14" s="72"/>
    </row>
    <row r="15" spans="1:17">
      <c r="A15" s="72"/>
      <c r="B15" s="60" t="str">
        <f>IF(D15="","","Tuberías")</f>
        <v>Tuberías</v>
      </c>
      <c r="C15" s="136" t="s">
        <v>72</v>
      </c>
      <c r="D15" s="83">
        <v>12</v>
      </c>
      <c r="E15" s="99"/>
      <c r="F15" s="84">
        <f>IF($D15="","",(VLOOKUP($C$6,Datos!$B$4:$P$14,10,FALSE)*$D15))</f>
        <v>840</v>
      </c>
      <c r="G15" s="85">
        <f>IF($D15="","",F15*3)</f>
        <v>2520</v>
      </c>
      <c r="H15" s="86">
        <f>IF($D15="","",(VLOOKUP($C$6,Datos!$B$4:$P$14,10,FALSE)*$D15))</f>
        <v>840</v>
      </c>
      <c r="I15" s="87">
        <f>IF($D15="","",H15*2)</f>
        <v>1680</v>
      </c>
      <c r="J15" s="100"/>
      <c r="K15" s="100"/>
      <c r="L15" s="88">
        <f>IF($D15="","",(VLOOKUP($C$6,Datos!$B$4:$P$14,10,FALSE)*$D15))</f>
        <v>840</v>
      </c>
      <c r="M15" s="89">
        <f>IF($D15="","",L15*3)</f>
        <v>2520</v>
      </c>
      <c r="N15" s="97"/>
      <c r="O15" s="97"/>
      <c r="P15" s="98" t="str">
        <f t="shared" ref="P15:P16" si="5">IF(C15="","","Exento")</f>
        <v>Exento</v>
      </c>
      <c r="Q15" s="72"/>
    </row>
    <row r="16" spans="1:17">
      <c r="A16" s="72"/>
      <c r="B16" s="60" t="str">
        <f>IF(D16="","","Tuberías")</f>
        <v/>
      </c>
      <c r="C16" s="136"/>
      <c r="D16" s="83"/>
      <c r="E16" s="99"/>
      <c r="F16" s="84" t="str">
        <f>IF($D16="","",(VLOOKUP($C$6,Datos!$B$4:$P$14,10,FALSE)*$D16))</f>
        <v/>
      </c>
      <c r="G16" s="85" t="str">
        <f>IF($D16="","",F16*2)</f>
        <v/>
      </c>
      <c r="H16" s="86" t="str">
        <f>IF($D16="","",(VLOOKUP($C$6,Datos!$B$4:$P$14,10,FALSE)*$D16))</f>
        <v/>
      </c>
      <c r="I16" s="87" t="str">
        <f>IF($D16="","",H16*2)</f>
        <v/>
      </c>
      <c r="J16" s="100"/>
      <c r="K16" s="100"/>
      <c r="L16" s="100"/>
      <c r="M16" s="89" t="str">
        <f>IF($D16="","",L16*3)</f>
        <v/>
      </c>
      <c r="N16" s="97"/>
      <c r="O16" s="97"/>
      <c r="P16" s="98" t="str">
        <f t="shared" si="5"/>
        <v/>
      </c>
      <c r="Q16" s="72"/>
    </row>
    <row r="17" spans="1:17" s="58" customFormat="1" ht="15.75">
      <c r="A17" s="72"/>
      <c r="B17" s="140" t="str">
        <f>IF(B11="","","Suma:")</f>
        <v>Suma:</v>
      </c>
      <c r="C17" s="140"/>
      <c r="D17" s="140"/>
      <c r="E17" s="92" t="str">
        <f t="shared" ref="E17:O17" si="6">IF(E14="","",SUM(E14,E15,E16))</f>
        <v/>
      </c>
      <c r="F17" s="92">
        <f t="shared" si="6"/>
        <v>1120</v>
      </c>
      <c r="G17" s="93">
        <f t="shared" si="6"/>
        <v>3360</v>
      </c>
      <c r="H17" s="92">
        <f t="shared" si="6"/>
        <v>1120</v>
      </c>
      <c r="I17" s="93">
        <f t="shared" si="6"/>
        <v>2240</v>
      </c>
      <c r="J17" s="92" t="str">
        <f t="shared" si="6"/>
        <v/>
      </c>
      <c r="K17" s="92"/>
      <c r="L17" s="92">
        <f>IF(L14="","",SUM(L14,L15,L16))</f>
        <v>1120</v>
      </c>
      <c r="M17" s="93">
        <f t="shared" si="6"/>
        <v>3360</v>
      </c>
      <c r="N17" s="92" t="str">
        <f t="shared" si="6"/>
        <v/>
      </c>
      <c r="O17" s="92" t="str">
        <f t="shared" si="6"/>
        <v/>
      </c>
      <c r="P17" s="93"/>
      <c r="Q17" s="72"/>
    </row>
    <row r="18" spans="1:17" ht="4.9000000000000004" customHeight="1">
      <c r="A18" s="72"/>
      <c r="B18" s="61"/>
      <c r="C18" s="61"/>
      <c r="D18" s="61"/>
      <c r="E18" s="99"/>
      <c r="F18" s="99"/>
      <c r="G18" s="101"/>
      <c r="H18" s="102"/>
      <c r="I18" s="103"/>
      <c r="J18" s="100"/>
      <c r="K18" s="100"/>
      <c r="L18" s="100"/>
      <c r="M18" s="104"/>
      <c r="N18" s="97"/>
      <c r="O18" s="97"/>
      <c r="P18" s="105"/>
      <c r="Q18" s="72"/>
    </row>
    <row r="19" spans="1:17" s="58" customFormat="1" ht="15.75">
      <c r="A19" s="72"/>
      <c r="B19" s="140" t="s">
        <v>75</v>
      </c>
      <c r="C19" s="140"/>
      <c r="D19" s="140"/>
      <c r="E19" s="106">
        <f t="shared" ref="E19:J19" si="7">IF(OR(E11&lt;&gt;"",E17&lt;&gt;""),SUM(E11,E17),"")</f>
        <v>3500</v>
      </c>
      <c r="F19" s="106">
        <f t="shared" si="7"/>
        <v>5560</v>
      </c>
      <c r="G19" s="107">
        <f t="shared" si="7"/>
        <v>40240</v>
      </c>
      <c r="H19" s="106">
        <f t="shared" si="7"/>
        <v>11740</v>
      </c>
      <c r="I19" s="107">
        <f t="shared" si="7"/>
        <v>23480</v>
      </c>
      <c r="J19" s="106">
        <f t="shared" si="7"/>
        <v>10620</v>
      </c>
      <c r="K19" s="106"/>
      <c r="L19" s="106">
        <f>IF(OR(L11&lt;&gt;"",L17&lt;&gt;""),SUM(L11,L17),"")</f>
        <v>2320</v>
      </c>
      <c r="M19" s="107">
        <f>IF(OR(M11&lt;&gt;"",M17&lt;&gt;""),SUM(M11,M17),"")</f>
        <v>22830</v>
      </c>
      <c r="N19" s="106">
        <f>IF(OR(N11&lt;&gt;"",N17&lt;&gt;""),SUM(N11,N17),"")</f>
        <v>11270</v>
      </c>
      <c r="O19" s="106">
        <f>IF(OR(O11&lt;&gt;"",O17&lt;&gt;""),SUM(O11,O17),"")</f>
        <v>1620</v>
      </c>
      <c r="P19" s="107">
        <f>IF(OR(P11&lt;&gt;"",P17&lt;&gt;""),SUM(P11),"")</f>
        <v>27470</v>
      </c>
      <c r="Q19" s="72"/>
    </row>
    <row r="20" spans="1:17" s="58" customFormat="1" ht="15.75">
      <c r="A20" s="72"/>
      <c r="B20" s="66"/>
      <c r="C20" s="66"/>
      <c r="D20" s="66"/>
      <c r="E20" s="68"/>
      <c r="F20" s="68"/>
      <c r="G20" s="69"/>
      <c r="H20" s="68"/>
      <c r="I20" s="69"/>
      <c r="J20" s="68"/>
      <c r="K20" s="68"/>
      <c r="L20" s="68"/>
      <c r="M20" s="69"/>
      <c r="N20" s="68"/>
      <c r="O20" s="68"/>
      <c r="P20" s="69"/>
      <c r="Q20" s="72"/>
    </row>
    <row r="21" spans="1:17" s="70" customFormat="1" ht="7.9" customHeight="1">
      <c r="A21" s="72"/>
      <c r="B21" s="74"/>
      <c r="C21" s="74"/>
      <c r="D21" s="74"/>
      <c r="E21" s="75"/>
      <c r="F21" s="75"/>
      <c r="G21" s="76"/>
      <c r="H21" s="75"/>
      <c r="I21" s="76"/>
      <c r="J21" s="75"/>
      <c r="K21" s="75"/>
      <c r="L21" s="75"/>
      <c r="M21" s="76"/>
      <c r="N21" s="75"/>
      <c r="O21" s="75"/>
      <c r="P21" s="76"/>
      <c r="Q21" s="72"/>
    </row>
    <row r="22" spans="1:17" s="70" customFormat="1" ht="15">
      <c r="A22" s="72"/>
      <c r="B22" s="71"/>
      <c r="C22" s="71"/>
      <c r="D22" s="71"/>
      <c r="E22" s="71"/>
      <c r="F22" s="71"/>
      <c r="G22" s="71"/>
      <c r="H22" s="71"/>
      <c r="I22" s="71"/>
      <c r="J22" s="71"/>
      <c r="K22" s="71"/>
      <c r="L22" s="71"/>
      <c r="M22" s="71"/>
      <c r="N22" s="71"/>
      <c r="O22" s="71"/>
      <c r="P22" s="71"/>
      <c r="Q22" s="72"/>
    </row>
    <row r="23" spans="1:17" s="77" customFormat="1" ht="27" customHeight="1">
      <c r="A23" s="72"/>
      <c r="B23" s="72"/>
      <c r="C23" s="72"/>
      <c r="D23" s="72"/>
      <c r="E23" s="72"/>
      <c r="F23" s="148" t="s">
        <v>190</v>
      </c>
      <c r="G23" s="149"/>
      <c r="H23" s="149"/>
      <c r="I23" s="149"/>
      <c r="J23" s="149"/>
      <c r="K23" s="149"/>
      <c r="L23" s="150"/>
      <c r="M23" s="72"/>
      <c r="N23" s="72"/>
      <c r="O23" s="72"/>
      <c r="P23" s="72"/>
      <c r="Q23" s="72"/>
    </row>
    <row r="24" spans="1:17" s="45" customFormat="1">
      <c r="A24" s="72"/>
      <c r="B24" s="71"/>
      <c r="C24" s="71"/>
      <c r="D24" s="71"/>
      <c r="E24" s="71"/>
      <c r="F24" s="71"/>
      <c r="G24" s="71"/>
      <c r="H24" s="71"/>
      <c r="I24" s="71"/>
      <c r="J24" s="71"/>
      <c r="K24" s="71"/>
      <c r="L24" s="71"/>
      <c r="M24" s="71"/>
      <c r="N24" s="71"/>
      <c r="O24" s="71"/>
      <c r="P24" s="71"/>
      <c r="Q24" s="72"/>
    </row>
    <row r="25" spans="1:17">
      <c r="A25" s="72"/>
      <c r="B25" s="71"/>
      <c r="C25" s="71"/>
      <c r="D25" s="71"/>
      <c r="E25" s="146" t="s">
        <v>96</v>
      </c>
      <c r="F25" s="146"/>
      <c r="G25" s="146"/>
      <c r="H25" s="146"/>
      <c r="I25" s="147" t="s">
        <v>99</v>
      </c>
      <c r="J25" s="147"/>
      <c r="K25" s="147"/>
      <c r="L25" s="147"/>
      <c r="M25" s="145" t="s">
        <v>189</v>
      </c>
      <c r="N25" s="145"/>
      <c r="O25" s="145"/>
      <c r="P25" s="145"/>
      <c r="Q25" s="72"/>
    </row>
    <row r="26" spans="1:17" ht="15.75">
      <c r="A26" s="72"/>
      <c r="B26" s="62"/>
      <c r="C26" s="62"/>
      <c r="D26" s="62"/>
      <c r="E26" s="108"/>
      <c r="F26" s="109" t="s">
        <v>68</v>
      </c>
      <c r="G26" s="110"/>
      <c r="H26" s="111"/>
      <c r="I26" s="112"/>
      <c r="J26" s="113"/>
      <c r="K26" s="113"/>
      <c r="L26" s="113"/>
      <c r="M26" s="114"/>
      <c r="N26" s="115" t="s">
        <v>67</v>
      </c>
      <c r="O26" s="116"/>
      <c r="P26" s="114"/>
      <c r="Q26" s="72"/>
    </row>
    <row r="27" spans="1:17" ht="15">
      <c r="A27" s="72"/>
      <c r="B27" s="64"/>
      <c r="C27" s="64"/>
      <c r="D27" s="64"/>
      <c r="E27" s="108"/>
      <c r="F27" s="117" t="s">
        <v>188</v>
      </c>
      <c r="G27" s="110"/>
      <c r="H27" s="111"/>
      <c r="I27" s="112"/>
      <c r="J27" s="113"/>
      <c r="K27" s="113"/>
      <c r="L27" s="113"/>
      <c r="M27" s="114"/>
      <c r="N27" s="118"/>
      <c r="O27" s="116"/>
      <c r="P27" s="114"/>
      <c r="Q27" s="72"/>
    </row>
    <row r="28" spans="1:17" ht="13.9" customHeight="1">
      <c r="A28" s="72"/>
      <c r="B28" s="64"/>
      <c r="C28" s="64" t="s">
        <v>69</v>
      </c>
      <c r="D28" s="64" t="s">
        <v>70</v>
      </c>
      <c r="E28" s="119" t="s">
        <v>97</v>
      </c>
      <c r="F28" s="135" t="s">
        <v>63</v>
      </c>
      <c r="G28" s="120" t="s">
        <v>66</v>
      </c>
      <c r="H28" s="154" t="s">
        <v>98</v>
      </c>
      <c r="I28" s="121" t="s">
        <v>97</v>
      </c>
      <c r="J28" s="122" t="s">
        <v>68</v>
      </c>
      <c r="K28" s="123" t="s">
        <v>66</v>
      </c>
      <c r="L28" s="156" t="s">
        <v>108</v>
      </c>
      <c r="M28" s="124" t="s">
        <v>158</v>
      </c>
      <c r="N28" s="125" t="s">
        <v>159</v>
      </c>
      <c r="O28" s="126" t="s">
        <v>68</v>
      </c>
      <c r="P28" s="126" t="s">
        <v>66</v>
      </c>
      <c r="Q28" s="72"/>
    </row>
    <row r="29" spans="1:17">
      <c r="A29" s="72"/>
      <c r="B29" s="60" t="str">
        <f>IF(C29="","","Depositos")</f>
        <v>Depositos</v>
      </c>
      <c r="C29" s="83" t="s">
        <v>14</v>
      </c>
      <c r="D29" s="83">
        <v>4</v>
      </c>
      <c r="E29" s="127">
        <f>IF($D29="","",(VLOOKUP($C29,Datos!$B$4:$T$14,5,FALSE)+VLOOKUP($C29,Datos!$B$4:$T$14,6,FALSE)+VLOOKUP($C29,Datos!$B$4:$T$14,7,FALSE)+VLOOKUP($C29,Datos!$B$4:$T$14,8,FALSE)+VLOOKUP($C29,Datos!$B$4:$T$14,17,FALSE)+VLOOKUP($C29,Datos!$B$4:$T$14,16,FALSE))*$D29)</f>
        <v>30207.200000000001</v>
      </c>
      <c r="F29" s="127">
        <f>IF(C29="","",IF($F$28="Sondas",VLOOKUP(C29,Datos!$B$4:$AA$14,22,FALSE),IF($F$28="Con Producto",VLOOKUP(C29,Datos!$B$4:$AA$14,20,FALSE),IF($F$28="Sin Producto",VLOOKUP(C29,Datos!$B$4:$AA$14,21,FALSE),IF($F$28="CEI",VLOOKUP(C29,Datos!$B$4:$AA$14,23,FALSE),"")))))</f>
        <v>1110</v>
      </c>
      <c r="G29" s="128">
        <f>IF($D29="","",IF($F$28="Sondas",SUM(VLOOKUP(C29,Datos!$B$4:$AA$14,26,FALSE)*4,F29*2,E29),IF($F$28="Con Producto",SUM(VLOOKUP(C29,Datos!$B$4:$AA$14,24,FALSE)*4,F29*2,E29),IF($F$28="Sin Producto",SUM(VLOOKUP(C29,Datos!$B$4:$AA$14,21,FALSE)*2,E29),IF($F$28="CEI",SUM(VLOOKUP(C29,Datos!$B$4:$AA$14,23,FALSE)*5,E29),"")))))</f>
        <v>35927.199999999997</v>
      </c>
      <c r="H29" s="155"/>
      <c r="I29" s="129">
        <f>IF($D29="","",(VLOOKUP($C29,Datos!$B$4:$T$14,5,FALSE)+VLOOKUP($C29,Datos!$B$4:$T$14,6,FALSE)+VLOOKUP($C29,Datos!$B$4:$T$14,8,FALSE)+VLOOKUP($C29,Datos!$B$4:$T$14,18,FALSE)+VLOOKUP($C29,Datos!$B$4:$T$14,19,FALSE))*$D29)</f>
        <v>83808.639999999999</v>
      </c>
      <c r="J29" s="141" t="s">
        <v>132</v>
      </c>
      <c r="K29" s="130">
        <f>IF($D29="","",SUM(I29,J29))</f>
        <v>83808.639999999999</v>
      </c>
      <c r="L29" s="157"/>
      <c r="M29" s="131">
        <f>IF($D29="","",(VLOOKUP($C29,Datos!$B$4:$T$14,5,FALSE)+VLOOKUP($C29,Datos!$B$4:$T$14,6,FALSE)+VLOOKUP($C29,Datos!$B$4:$T$14,7,FALSE)+VLOOKUP($C29,Datos!$B$4:$T$14,8,FALSE)+VLOOKUP($C29,Datos!$B$4:$T$14,17,FALSE)+VLOOKUP($C29,Datos!$B$4:$T$14,16,FALSE))*$D29)</f>
        <v>30207.200000000001</v>
      </c>
      <c r="N29" s="131">
        <f>IF($D29="","",(VLOOKUP($C29,Datos!$B$4:$T$14,5,FALSE)+VLOOKUP($C29,Datos!$B$4:$T$14,6,FALSE)+VLOOKUP($C29,Datos!$B$4:$T$14,8,FALSE)+VLOOKUP($C29,Datos!$B$4:$T$14,18,FALSE)+VLOOKUP($C29,Datos!$B$4:$T$14,19,FALSE)-VLOOKUP($C29,Datos!$B$4:$T$14,16,FALSE))*$D29)</f>
        <v>64121.440000000002</v>
      </c>
      <c r="O29" s="143" t="s">
        <v>132</v>
      </c>
      <c r="P29" s="132">
        <f>IF($D29="","",SUM(N29,M29))</f>
        <v>94328.639999999999</v>
      </c>
      <c r="Q29" s="72"/>
    </row>
    <row r="30" spans="1:17">
      <c r="A30" s="72"/>
      <c r="B30" s="60" t="str">
        <f t="shared" ref="B30:B33" si="8">IF(C30="","","Depositos")</f>
        <v/>
      </c>
      <c r="C30" s="83"/>
      <c r="D30" s="83"/>
      <c r="E30" s="127" t="str">
        <f>IF($D30="","",(VLOOKUP($C30,Datos!$B$4:$T$14,5,FALSE)+VLOOKUP($C30,Datos!$B$4:$T$14,6,FALSE)+VLOOKUP($C30,Datos!$B$4:$T$14,7,FALSE)+VLOOKUP($C30,Datos!$B$4:$T$14,8,FALSE)+VLOOKUP($C30,Datos!$B$4:$T$14,17,FALSE)+VLOOKUP($C30,Datos!$B$4:$T$14,16,FALSE))*$D30)</f>
        <v/>
      </c>
      <c r="F30" s="127" t="str">
        <f>IF(C30="","",IF(OR($F$28="Sondas",$F$28="CEI"),"",IF($F$28="Con Producto",VLOOKUP(C30,Datos!$B$4:$AA$14,20,FALSE),IF($F$28="Sin Producto",VLOOKUP(C30,Datos!$B$4:$AA$14,21,FALSE),""))))</f>
        <v/>
      </c>
      <c r="G30" s="128" t="str">
        <f>IF($D30="","",IF(OR($F$28="Sondas",$F$28="CEI"),E30,IF($F$28="Con Producto",SUM(VLOOKUP(C30,Datos!$B$4:$AA$14,24,FALSE)*4,F30*2,E30),IF($F$28="Sin Producto",SUM(VLOOKUP(C30,Datos!$B$4:$AA$14,21,FALSE)*2,E30),""))))</f>
        <v/>
      </c>
      <c r="H30" s="155"/>
      <c r="I30" s="129" t="str">
        <f>IF($D30="","",(VLOOKUP($C30,Datos!$B$4:$T$14,5,FALSE)+VLOOKUP($C30,Datos!$B$4:$T$14,6,FALSE)+VLOOKUP($C30,Datos!$B$4:$T$14,8,FALSE)+VLOOKUP($C30,Datos!$B$4:$T$14,18,FALSE)+VLOOKUP($C30,Datos!$B$4:$T$14,19,FALSE))*$D30)</f>
        <v/>
      </c>
      <c r="J30" s="142"/>
      <c r="K30" s="130" t="str">
        <f t="shared" ref="K30:K33" si="9">IF($D30="","",SUM(I30,J30))</f>
        <v/>
      </c>
      <c r="L30" s="157"/>
      <c r="M30" s="131" t="str">
        <f>IF($D30="","",(VLOOKUP($C30,Datos!$B$4:$T$14,5,FALSE)+VLOOKUP($C30,Datos!$B$4:$T$14,6,FALSE)+VLOOKUP($C30,Datos!$B$4:$T$14,7,FALSE)+VLOOKUP($C30,Datos!$B$4:$T$14,8,FALSE)+VLOOKUP($C30,Datos!$B$4:$T$14,17,FALSE)+VLOOKUP($C30,Datos!$B$4:$T$14,16,FALSE))*$D30)</f>
        <v/>
      </c>
      <c r="N30" s="131" t="str">
        <f>IF($D30="","",(VLOOKUP($C30,Datos!$B$4:$T$14,5,FALSE)+VLOOKUP($C30,Datos!$B$4:$T$14,6,FALSE)+VLOOKUP($C30,Datos!$B$4:$T$14,8,FALSE)+VLOOKUP($C30,Datos!$B$4:$T$14,18,FALSE)+VLOOKUP($C30,Datos!$B$4:$T$14,19,FALSE)-VLOOKUP($C30,Datos!$B$4:$T$14,16,FALSE))*$D30)</f>
        <v/>
      </c>
      <c r="O30" s="144"/>
      <c r="P30" s="132" t="str">
        <f t="shared" ref="P30:P33" si="10">IF($D30="","",SUM(N30,M30))</f>
        <v/>
      </c>
      <c r="Q30" s="72"/>
    </row>
    <row r="31" spans="1:17">
      <c r="A31" s="72"/>
      <c r="B31" s="60" t="str">
        <f t="shared" si="8"/>
        <v/>
      </c>
      <c r="C31" s="83"/>
      <c r="D31" s="83"/>
      <c r="E31" s="127" t="str">
        <f>IF($D31="","",(VLOOKUP($C31,Datos!$B$4:$T$14,5,FALSE)+VLOOKUP($C31,Datos!$B$4:$T$14,6,FALSE)+VLOOKUP($C31,Datos!$B$4:$T$14,7,FALSE)+VLOOKUP($C31,Datos!$B$4:$T$14,8,FALSE)+VLOOKUP($C31,Datos!$B$4:$T$14,17,FALSE)+VLOOKUP($C31,Datos!$B$4:$T$14,16,FALSE))*$D31)</f>
        <v/>
      </c>
      <c r="F31" s="127" t="str">
        <f>IF(C31="","",IF(OR($F$28="Sondas",$F$28="CEI"),"",IF($F$28="Con Producto",VLOOKUP(C31,Datos!$B$4:$AA$14,20,FALSE),IF($F$28="Sin Producto",VLOOKUP(C31,Datos!$B$4:$AA$14,21,FALSE),""))))</f>
        <v/>
      </c>
      <c r="G31" s="128" t="str">
        <f>IF($D31="","",IF(OR($F$28="Sondas",$F$28="CEI"),E31,IF($F$28="Con Producto",SUM(VLOOKUP(C31,Datos!$B$4:$AA$14,24,FALSE)*4,F31*2,E31),IF($F$28="Sin Producto",SUM(VLOOKUP(C31,Datos!$B$4:$AA$14,21,FALSE)*2,E31),""))))</f>
        <v/>
      </c>
      <c r="H31" s="155"/>
      <c r="I31" s="129" t="str">
        <f>IF($D31="","",(VLOOKUP($C31,Datos!$B$4:$T$14,5,FALSE)+VLOOKUP($C31,Datos!$B$4:$T$14,6,FALSE)+VLOOKUP($C31,Datos!$B$4:$T$14,8,FALSE)+VLOOKUP($C31,Datos!$B$4:$T$14,18,FALSE)+VLOOKUP($C31,Datos!$B$4:$T$14,19,FALSE))*$D31)</f>
        <v/>
      </c>
      <c r="J31" s="142"/>
      <c r="K31" s="130" t="str">
        <f t="shared" si="9"/>
        <v/>
      </c>
      <c r="L31" s="157"/>
      <c r="M31" s="131" t="str">
        <f>IF($D31="","",(VLOOKUP($C31,Datos!$B$4:$T$14,5,FALSE)+VLOOKUP($C31,Datos!$B$4:$T$14,6,FALSE)+VLOOKUP($C31,Datos!$B$4:$T$14,7,FALSE)+VLOOKUP($C31,Datos!$B$4:$T$14,8,FALSE)+VLOOKUP($C31,Datos!$B$4:$T$14,17,FALSE)+VLOOKUP($C31,Datos!$B$4:$T$14,16,FALSE))*$D31)</f>
        <v/>
      </c>
      <c r="N31" s="131" t="str">
        <f>IF($D31="","",(VLOOKUP($C31,Datos!$B$4:$T$14,5,FALSE)+VLOOKUP($C31,Datos!$B$4:$T$14,6,FALSE)+VLOOKUP($C31,Datos!$B$4:$T$14,8,FALSE)+VLOOKUP($C31,Datos!$B$4:$T$14,18,FALSE)+VLOOKUP($C31,Datos!$B$4:$T$14,19,FALSE)-VLOOKUP($C31,Datos!$B$4:$T$14,16,FALSE))*$D31)</f>
        <v/>
      </c>
      <c r="O31" s="144"/>
      <c r="P31" s="132" t="str">
        <f t="shared" si="10"/>
        <v/>
      </c>
      <c r="Q31" s="72"/>
    </row>
    <row r="32" spans="1:17">
      <c r="A32" s="72"/>
      <c r="B32" s="60" t="str">
        <f t="shared" si="8"/>
        <v/>
      </c>
      <c r="C32" s="83"/>
      <c r="D32" s="83"/>
      <c r="E32" s="127" t="str">
        <f>IF($D32="","",(VLOOKUP($C32,Datos!$B$4:$T$14,5,FALSE)+VLOOKUP($C32,Datos!$B$4:$T$14,6,FALSE)+VLOOKUP($C32,Datos!$B$4:$T$14,7,FALSE)+VLOOKUP($C32,Datos!$B$4:$T$14,8,FALSE)+VLOOKUP($C32,Datos!$B$4:$T$14,17,FALSE)+VLOOKUP($C32,Datos!$B$4:$T$14,16,FALSE))*$D32)</f>
        <v/>
      </c>
      <c r="F32" s="127" t="str">
        <f>IF(C32="","",IF(OR($F$28="Sondas",$F$28="CEI"),"",IF($F$28="Con Producto",VLOOKUP(C32,Datos!$B$4:$AA$14,20,FALSE),IF($F$28="Sin Producto",VLOOKUP(C32,Datos!$B$4:$AA$14,21,FALSE),""))))</f>
        <v/>
      </c>
      <c r="G32" s="128" t="str">
        <f>IF($D32="","",IF(OR($F$28="Sondas",$F$28="CEI"),E32,IF($F$28="Con Producto",SUM(VLOOKUP(C32,Datos!$B$4:$AA$14,24,FALSE)*4,F32*2,E32),IF($F$28="Sin Producto",SUM(VLOOKUP(C32,Datos!$B$4:$AA$14,21,FALSE)*2,E32),""))))</f>
        <v/>
      </c>
      <c r="H32" s="155"/>
      <c r="I32" s="129" t="str">
        <f>IF($D32="","",(VLOOKUP($C32,Datos!$B$4:$T$14,5,FALSE)+VLOOKUP($C32,Datos!$B$4:$T$14,6,FALSE)+VLOOKUP($C32,Datos!$B$4:$T$14,8,FALSE)+VLOOKUP($C32,Datos!$B$4:$T$14,18,FALSE)+VLOOKUP($C32,Datos!$B$4:$T$14,19,FALSE))*$D32)</f>
        <v/>
      </c>
      <c r="J32" s="142"/>
      <c r="K32" s="130" t="str">
        <f t="shared" si="9"/>
        <v/>
      </c>
      <c r="L32" s="157"/>
      <c r="M32" s="131" t="str">
        <f>IF($D32="","",(VLOOKUP($C32,Datos!$B$4:$T$14,5,FALSE)+VLOOKUP($C32,Datos!$B$4:$T$14,6,FALSE)+VLOOKUP($C32,Datos!$B$4:$T$14,7,FALSE)+VLOOKUP($C32,Datos!$B$4:$T$14,8,FALSE)+VLOOKUP($C32,Datos!$B$4:$T$14,17,FALSE)+VLOOKUP($C32,Datos!$B$4:$T$14,16,FALSE))*$D32)</f>
        <v/>
      </c>
      <c r="N32" s="131" t="str">
        <f>IF($D32="","",(VLOOKUP($C32,Datos!$B$4:$T$14,5,FALSE)+VLOOKUP($C32,Datos!$B$4:$T$14,6,FALSE)+VLOOKUP($C32,Datos!$B$4:$T$14,8,FALSE)+VLOOKUP($C32,Datos!$B$4:$T$14,18,FALSE)+VLOOKUP($C32,Datos!$B$4:$T$14,19,FALSE)-VLOOKUP($C32,Datos!$B$4:$T$14,16,FALSE))*$D32)</f>
        <v/>
      </c>
      <c r="O32" s="144"/>
      <c r="P32" s="132" t="str">
        <f t="shared" si="10"/>
        <v/>
      </c>
      <c r="Q32" s="72"/>
    </row>
    <row r="33" spans="1:17">
      <c r="A33" s="72"/>
      <c r="B33" s="60" t="str">
        <f t="shared" si="8"/>
        <v/>
      </c>
      <c r="C33" s="83"/>
      <c r="D33" s="83"/>
      <c r="E33" s="127" t="str">
        <f>IF($D33="","",(VLOOKUP($C33,Datos!$B$4:$T$14,5,FALSE)+VLOOKUP($C33,Datos!$B$4:$T$14,6,FALSE)+VLOOKUP($C33,Datos!$B$4:$T$14,7,FALSE)+VLOOKUP($C33,Datos!$B$4:$T$14,8,FALSE)+VLOOKUP($C33,Datos!$B$4:$T$14,17,FALSE)+VLOOKUP($C33,Datos!$B$4:$T$14,16,FALSE))*$D33)</f>
        <v/>
      </c>
      <c r="F33" s="127" t="str">
        <f>IF(C33="","",IF(OR($F$28="Sondas",$F$28="CEI"),"",IF($F$28="Con Producto",VLOOKUP(C33,Datos!$B$4:$AA$14,20,FALSE),IF($F$28="Sin Producto",VLOOKUP(C33,Datos!$B$4:$AA$14,21,FALSE),""))))</f>
        <v/>
      </c>
      <c r="G33" s="128" t="str">
        <f>IF($D33="","",IF(OR($F$28="Sondas",$F$28="CEI"),E33,IF($F$28="Con Producto",SUM(VLOOKUP(C33,Datos!$B$4:$AA$14,24,FALSE)*4,F33*2,E33),IF($F$28="Sin Producto",SUM(VLOOKUP(C33,Datos!$B$4:$AA$14,21,FALSE)*2,E33),""))))</f>
        <v/>
      </c>
      <c r="H33" s="155"/>
      <c r="I33" s="129" t="str">
        <f>IF($D33="","",(VLOOKUP($C33,Datos!$B$4:$T$14,5,FALSE)+VLOOKUP($C33,Datos!$B$4:$T$14,6,FALSE)+VLOOKUP($C33,Datos!$B$4:$T$14,8,FALSE)+VLOOKUP($C33,Datos!$B$4:$T$14,18,FALSE)+VLOOKUP($C33,Datos!$B$4:$T$14,19,FALSE))*$D33)</f>
        <v/>
      </c>
      <c r="J33" s="142"/>
      <c r="K33" s="130" t="str">
        <f t="shared" si="9"/>
        <v/>
      </c>
      <c r="L33" s="157"/>
      <c r="M33" s="131" t="str">
        <f>IF($D33="","",(VLOOKUP($C33,Datos!$B$4:$T$14,5,FALSE)+VLOOKUP($C33,Datos!$B$4:$T$14,6,FALSE)+VLOOKUP($C33,Datos!$B$4:$T$14,7,FALSE)+VLOOKUP($C33,Datos!$B$4:$T$14,8,FALSE)+VLOOKUP($C33,Datos!$B$4:$T$14,17,FALSE)+VLOOKUP($C33,Datos!$B$4:$T$14,16,FALSE))*$D33)</f>
        <v/>
      </c>
      <c r="N33" s="131" t="str">
        <f>IF($D33="","",(VLOOKUP($C33,Datos!$B$4:$T$14,5,FALSE)+VLOOKUP($C33,Datos!$B$4:$T$14,6,FALSE)+VLOOKUP($C33,Datos!$B$4:$T$14,8,FALSE)+VLOOKUP($C33,Datos!$B$4:$T$14,18,FALSE)+VLOOKUP($C33,Datos!$B$4:$T$14,19,FALSE)-VLOOKUP($C33,Datos!$B$4:$T$14,16,FALSE))*$D33)</f>
        <v/>
      </c>
      <c r="O33" s="144"/>
      <c r="P33" s="132" t="str">
        <f t="shared" si="10"/>
        <v/>
      </c>
      <c r="Q33" s="72"/>
    </row>
    <row r="34" spans="1:17" s="58" customFormat="1" ht="15.75">
      <c r="A34" s="72"/>
      <c r="B34" s="140" t="str">
        <f>IF(B29="","","Suma:")</f>
        <v>Suma:</v>
      </c>
      <c r="C34" s="140"/>
      <c r="D34" s="140"/>
      <c r="E34" s="133">
        <f>IF(E29="","",SUM(E29,E30,E31,E32,E33))</f>
        <v>30207.200000000001</v>
      </c>
      <c r="F34" s="133">
        <f t="shared" ref="F34:P34" si="11">IF(F29="","",SUM(F29,F30,F31,F32,F33))</f>
        <v>1110</v>
      </c>
      <c r="G34" s="133">
        <f t="shared" si="11"/>
        <v>35927.199999999997</v>
      </c>
      <c r="H34" s="133"/>
      <c r="I34" s="133">
        <f t="shared" si="11"/>
        <v>83808.639999999999</v>
      </c>
      <c r="J34" s="134"/>
      <c r="K34" s="133">
        <f>IF(K29="","",SUM(K29,K30,K31,K32,K33))</f>
        <v>83808.639999999999</v>
      </c>
      <c r="L34" s="134" t="str">
        <f t="shared" si="11"/>
        <v/>
      </c>
      <c r="M34" s="133">
        <f t="shared" si="11"/>
        <v>30207.200000000001</v>
      </c>
      <c r="N34" s="133">
        <f t="shared" si="11"/>
        <v>64121.440000000002</v>
      </c>
      <c r="O34" s="134"/>
      <c r="P34" s="133">
        <f t="shared" si="11"/>
        <v>94328.639999999999</v>
      </c>
      <c r="Q34" s="72"/>
    </row>
  </sheetData>
  <sheetProtection algorithmName="SHA-512" hashValue="Tdp/pWewD5FMjTQShKaomH75GexV21YwN/xQCjpSURYYVsiwMElMe4Y8JtRYKBGYwPlYroFc4QFDZT0yfMe9Yw==" saltValue="wpxnY+387NAvx4Z9NLUtPw==" spinCount="100000" sheet="1" objects="1" scenarios="1"/>
  <mergeCells count="17">
    <mergeCell ref="F2:L2"/>
    <mergeCell ref="E4:G4"/>
    <mergeCell ref="H4:I4"/>
    <mergeCell ref="J4:M4"/>
    <mergeCell ref="B34:D34"/>
    <mergeCell ref="H28:H33"/>
    <mergeCell ref="L28:L33"/>
    <mergeCell ref="N4:P4"/>
    <mergeCell ref="B19:D19"/>
    <mergeCell ref="B11:D11"/>
    <mergeCell ref="B17:D17"/>
    <mergeCell ref="J29:J33"/>
    <mergeCell ref="O29:O33"/>
    <mergeCell ref="M25:P25"/>
    <mergeCell ref="E25:H25"/>
    <mergeCell ref="I25:L25"/>
    <mergeCell ref="F23:L23"/>
  </mergeCells>
  <conditionalFormatting sqref="B6:D10">
    <cfRule type="notContainsBlanks" dxfId="11" priority="17">
      <formula>LEN(TRIM(B6))&gt;0</formula>
    </cfRule>
  </conditionalFormatting>
  <conditionalFormatting sqref="B14:D16">
    <cfRule type="notContainsBlanks" dxfId="10" priority="15">
      <formula>LEN(TRIM(B14))&gt;0</formula>
    </cfRule>
  </conditionalFormatting>
  <conditionalFormatting sqref="C6:C10">
    <cfRule type="containsBlanks" dxfId="9" priority="14">
      <formula>LEN(TRIM(C6))=0</formula>
    </cfRule>
  </conditionalFormatting>
  <conditionalFormatting sqref="C14:C16">
    <cfRule type="containsBlanks" dxfId="8" priority="13">
      <formula>LEN(TRIM(C14))=0</formula>
    </cfRule>
  </conditionalFormatting>
  <conditionalFormatting sqref="C29:C33">
    <cfRule type="containsBlanks" dxfId="7" priority="12">
      <formula>LEN(TRIM(C29))=0</formula>
    </cfRule>
  </conditionalFormatting>
  <conditionalFormatting sqref="B29:D33">
    <cfRule type="notContainsBlanks" dxfId="6" priority="11">
      <formula>LEN(TRIM(B29))&gt;0</formula>
    </cfRule>
  </conditionalFormatting>
  <conditionalFormatting sqref="F13">
    <cfRule type="notContainsBlanks" dxfId="5" priority="8">
      <formula>LEN(TRIM(F13))&gt;0</formula>
    </cfRule>
  </conditionalFormatting>
  <conditionalFormatting sqref="D6:D10">
    <cfRule type="containsBlanks" dxfId="4" priority="7">
      <formula>LEN(TRIM(D6))=0</formula>
    </cfRule>
  </conditionalFormatting>
  <conditionalFormatting sqref="D14:D16">
    <cfRule type="containsBlanks" dxfId="3" priority="6">
      <formula>LEN(TRIM(D14))=0</formula>
    </cfRule>
  </conditionalFormatting>
  <conditionalFormatting sqref="D29:D33">
    <cfRule type="containsBlanks" dxfId="2" priority="5">
      <formula>LEN(TRIM(D29))=0</formula>
    </cfRule>
  </conditionalFormatting>
  <conditionalFormatting sqref="H13">
    <cfRule type="notContainsBlanks" dxfId="1" priority="2">
      <formula>LEN(TRIM(H13))&gt;0</formula>
    </cfRule>
  </conditionalFormatting>
  <conditionalFormatting sqref="L13">
    <cfRule type="notContainsBlanks" dxfId="0" priority="1">
      <formula>LEN(TRIM(L13))&gt;0</formula>
    </cfRule>
  </conditionalFormatting>
  <dataValidations count="1">
    <dataValidation type="list" allowBlank="1" showInputMessage="1" showErrorMessage="1" sqref="F28">
      <formula1>TipoPrueba</formula1>
    </dataValidation>
  </dataValidations>
  <pageMargins left="0.7" right="0.7" top="0.75" bottom="0.75" header="0.3" footer="0.3"/>
  <pageSetup paperSize="9" orientation="portrait" horizontalDpi="1200" verticalDpi="1200" r:id="rId1"/>
  <ignoredErrors>
    <ignoredError sqref="I6 I7:I10" formula="1"/>
  </ignoredErrors>
  <extLst xmlns:xr="http://schemas.microsoft.com/office/spreadsheetml/2014/revision">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Datos!$B$5:$B$14</xm:f>
          </x14:formula1>
          <xm:sqref>C6:C10 C29:C33</xm:sqref>
        </x14:dataValidation>
        <x14:dataValidation type="list" allowBlank="1" showInputMessage="1" showErrorMessage="1" xr:uid="{00000000-0002-0000-0200-000002000000}">
          <x14:formula1>
            <xm:f>Datos!$A$4:$A$7</xm:f>
          </x14:formula1>
          <xm:sqref>C14:C16</xm:sqref>
        </x14:dataValidation>
      </x14:dataValidations>
    </ext>
  </extLst>
</worksheet>
</file>

<file path=xl/worksheets/sheet4.xml><?xml version="1.0" encoding="utf-8"?>
<worksheet xmlns="http://schemas.openxmlformats.org/spreadsheetml/2006/main" xmlns:r="http://schemas.openxmlformats.org/officeDocument/2006/relationships">
  <dimension ref="B2:C12"/>
  <sheetViews>
    <sheetView workbookViewId="0">
      <selection activeCell="C8" sqref="C8"/>
    </sheetView>
  </sheetViews>
  <sheetFormatPr baseColWidth="10" defaultRowHeight="12.75"/>
  <cols>
    <col min="2" max="2" width="58.7109375" bestFit="1" customWidth="1"/>
  </cols>
  <sheetData>
    <row r="2" spans="2:3">
      <c r="B2" t="s">
        <v>88</v>
      </c>
    </row>
    <row r="4" spans="2:3">
      <c r="B4" t="s">
        <v>79</v>
      </c>
    </row>
    <row r="5" spans="2:3">
      <c r="B5" t="s">
        <v>80</v>
      </c>
      <c r="C5" t="s">
        <v>81</v>
      </c>
    </row>
    <row r="6" spans="2:3">
      <c r="B6" t="s">
        <v>82</v>
      </c>
      <c r="C6" t="s">
        <v>83</v>
      </c>
    </row>
    <row r="7" spans="2:3">
      <c r="B7" t="s">
        <v>84</v>
      </c>
      <c r="C7" t="s">
        <v>85</v>
      </c>
    </row>
    <row r="8" spans="2:3">
      <c r="B8" t="s">
        <v>86</v>
      </c>
      <c r="C8" t="s">
        <v>87</v>
      </c>
    </row>
    <row r="12" spans="2:3">
      <c r="B12" t="s">
        <v>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3:G63"/>
  <sheetViews>
    <sheetView topLeftCell="A22" workbookViewId="0">
      <selection activeCell="A50" sqref="A50"/>
    </sheetView>
  </sheetViews>
  <sheetFormatPr baseColWidth="10" defaultRowHeight="12.75"/>
  <cols>
    <col min="1" max="1" width="50.7109375" bestFit="1" customWidth="1"/>
    <col min="3" max="3" width="13.7109375" bestFit="1" customWidth="1"/>
    <col min="4" max="4" width="13.42578125" customWidth="1"/>
    <col min="5" max="5" width="26.28515625" bestFit="1" customWidth="1"/>
  </cols>
  <sheetData>
    <row r="3" spans="1:7">
      <c r="A3" s="45" t="s">
        <v>100</v>
      </c>
    </row>
    <row r="4" spans="1:7">
      <c r="A4" s="45" t="s">
        <v>101</v>
      </c>
      <c r="G4" s="45" t="s">
        <v>56</v>
      </c>
    </row>
    <row r="5" spans="1:7">
      <c r="A5" s="45" t="s">
        <v>102</v>
      </c>
      <c r="B5" s="45" t="s">
        <v>66</v>
      </c>
      <c r="C5" s="45" t="s">
        <v>63</v>
      </c>
    </row>
    <row r="6" spans="1:7">
      <c r="A6" s="45" t="s">
        <v>103</v>
      </c>
      <c r="B6" s="45" t="s">
        <v>67</v>
      </c>
    </row>
    <row r="11" spans="1:7">
      <c r="A11" s="45" t="s">
        <v>109</v>
      </c>
    </row>
    <row r="13" spans="1:7">
      <c r="B13" s="45" t="s">
        <v>111</v>
      </c>
      <c r="C13" s="45" t="s">
        <v>112</v>
      </c>
      <c r="D13" s="45" t="s">
        <v>113</v>
      </c>
      <c r="E13" s="45" t="s">
        <v>136</v>
      </c>
    </row>
    <row r="14" spans="1:7">
      <c r="A14" s="45" t="s">
        <v>133</v>
      </c>
      <c r="B14" s="45"/>
      <c r="C14" s="45" t="s">
        <v>135</v>
      </c>
      <c r="D14" s="45" t="s">
        <v>135</v>
      </c>
      <c r="E14" s="45" t="s">
        <v>134</v>
      </c>
    </row>
    <row r="15" spans="1:7">
      <c r="A15" s="45" t="s">
        <v>110</v>
      </c>
      <c r="B15" s="45" t="s">
        <v>122</v>
      </c>
      <c r="C15" s="45" t="s">
        <v>124</v>
      </c>
    </row>
    <row r="16" spans="1:7">
      <c r="B16" s="45" t="s">
        <v>123</v>
      </c>
      <c r="C16" s="45" t="s">
        <v>125</v>
      </c>
    </row>
    <row r="17" spans="1:5">
      <c r="A17" s="45" t="s">
        <v>114</v>
      </c>
      <c r="B17" s="45" t="s">
        <v>122</v>
      </c>
      <c r="C17" s="45" t="s">
        <v>126</v>
      </c>
    </row>
    <row r="18" spans="1:5">
      <c r="A18" s="45"/>
      <c r="B18" s="45" t="s">
        <v>123</v>
      </c>
      <c r="C18" s="45" t="s">
        <v>124</v>
      </c>
    </row>
    <row r="19" spans="1:5">
      <c r="A19" s="45" t="s">
        <v>137</v>
      </c>
    </row>
    <row r="20" spans="1:5">
      <c r="A20" s="45" t="s">
        <v>115</v>
      </c>
    </row>
    <row r="21" spans="1:5">
      <c r="A21" s="45" t="s">
        <v>138</v>
      </c>
      <c r="C21" s="45" t="s">
        <v>127</v>
      </c>
    </row>
    <row r="22" spans="1:5">
      <c r="A22" s="45" t="s">
        <v>116</v>
      </c>
      <c r="C22" s="45" t="s">
        <v>128</v>
      </c>
    </row>
    <row r="23" spans="1:5">
      <c r="A23" s="45" t="s">
        <v>117</v>
      </c>
      <c r="C23" s="45" t="s">
        <v>125</v>
      </c>
    </row>
    <row r="24" spans="1:5">
      <c r="A24" s="45" t="s">
        <v>118</v>
      </c>
      <c r="C24" s="45" t="s">
        <v>129</v>
      </c>
    </row>
    <row r="25" spans="1:5">
      <c r="A25" s="45" t="s">
        <v>119</v>
      </c>
    </row>
    <row r="26" spans="1:5">
      <c r="A26" s="45"/>
      <c r="B26" s="45" t="s">
        <v>130</v>
      </c>
      <c r="C26" s="45" t="s">
        <v>131</v>
      </c>
    </row>
    <row r="27" spans="1:5">
      <c r="A27" s="45" t="s">
        <v>120</v>
      </c>
      <c r="C27" s="45" t="s">
        <v>127</v>
      </c>
    </row>
    <row r="28" spans="1:5">
      <c r="A28" s="45" t="s">
        <v>121</v>
      </c>
      <c r="C28" s="45" t="s">
        <v>125</v>
      </c>
    </row>
    <row r="32" spans="1:5">
      <c r="A32" s="45" t="s">
        <v>137</v>
      </c>
      <c r="E32" s="45" t="s">
        <v>141</v>
      </c>
    </row>
    <row r="33" spans="1:6" ht="14.25">
      <c r="A33" s="45" t="s">
        <v>130</v>
      </c>
      <c r="D33" s="45" t="s">
        <v>139</v>
      </c>
      <c r="E33" s="45" t="s">
        <v>142</v>
      </c>
      <c r="F33" s="45" t="s">
        <v>140</v>
      </c>
    </row>
    <row r="34" spans="1:6">
      <c r="E34" s="45" t="s">
        <v>143</v>
      </c>
    </row>
    <row r="35" spans="1:6">
      <c r="E35" s="45" t="s">
        <v>144</v>
      </c>
    </row>
    <row r="36" spans="1:6">
      <c r="E36" s="45" t="s">
        <v>145</v>
      </c>
    </row>
    <row r="37" spans="1:6" ht="14.25">
      <c r="D37" s="45" t="s">
        <v>146</v>
      </c>
      <c r="E37" s="45" t="s">
        <v>147</v>
      </c>
      <c r="F37" s="45" t="s">
        <v>150</v>
      </c>
    </row>
    <row r="38" spans="1:6">
      <c r="E38" s="45" t="s">
        <v>148</v>
      </c>
    </row>
    <row r="39" spans="1:6">
      <c r="E39" s="45" t="s">
        <v>151</v>
      </c>
      <c r="F39" s="45" t="s">
        <v>149</v>
      </c>
    </row>
    <row r="40" spans="1:6">
      <c r="A40" t="s">
        <v>173</v>
      </c>
      <c r="D40" t="s">
        <v>174</v>
      </c>
      <c r="F40" t="s">
        <v>175</v>
      </c>
    </row>
    <row r="41" spans="1:6">
      <c r="A41" t="s">
        <v>176</v>
      </c>
      <c r="D41" t="s">
        <v>177</v>
      </c>
    </row>
    <row r="42" spans="1:6">
      <c r="A42" t="s">
        <v>178</v>
      </c>
      <c r="D42" t="s">
        <v>179</v>
      </c>
      <c r="F42" t="s">
        <v>180</v>
      </c>
    </row>
    <row r="43" spans="1:6">
      <c r="D43" t="s">
        <v>181</v>
      </c>
      <c r="F43" t="s">
        <v>182</v>
      </c>
    </row>
    <row r="44" spans="1:6">
      <c r="D44" t="s">
        <v>183</v>
      </c>
    </row>
    <row r="45" spans="1:6">
      <c r="A45" t="s">
        <v>184</v>
      </c>
      <c r="D45" t="s">
        <v>185</v>
      </c>
    </row>
    <row r="46" spans="1:6">
      <c r="D46" t="s">
        <v>186</v>
      </c>
    </row>
    <row r="49" spans="1:6">
      <c r="A49" s="45" t="s">
        <v>119</v>
      </c>
    </row>
    <row r="50" spans="1:6" ht="14.25">
      <c r="A50" s="45" t="s">
        <v>152</v>
      </c>
      <c r="D50" s="45" t="s">
        <v>139</v>
      </c>
      <c r="E50" s="45" t="s">
        <v>142</v>
      </c>
      <c r="F50" s="45" t="s">
        <v>153</v>
      </c>
    </row>
    <row r="51" spans="1:6">
      <c r="E51" s="45" t="s">
        <v>143</v>
      </c>
      <c r="F51" s="45" t="s">
        <v>154</v>
      </c>
    </row>
    <row r="52" spans="1:6">
      <c r="E52" s="45" t="s">
        <v>144</v>
      </c>
    </row>
    <row r="53" spans="1:6">
      <c r="E53" s="45" t="s">
        <v>145</v>
      </c>
    </row>
    <row r="54" spans="1:6">
      <c r="E54" s="45" t="s">
        <v>171</v>
      </c>
      <c r="F54" t="s">
        <v>172</v>
      </c>
    </row>
    <row r="55" spans="1:6">
      <c r="A55" s="45" t="s">
        <v>155</v>
      </c>
      <c r="D55" s="45" t="s">
        <v>156</v>
      </c>
      <c r="E55" s="45" t="s">
        <v>157</v>
      </c>
      <c r="F55" s="45" t="s">
        <v>160</v>
      </c>
    </row>
    <row r="56" spans="1:6">
      <c r="E56" s="45" t="s">
        <v>171</v>
      </c>
    </row>
    <row r="57" spans="1:6">
      <c r="A57" t="s">
        <v>161</v>
      </c>
      <c r="D57" t="s">
        <v>162</v>
      </c>
    </row>
    <row r="59" spans="1:6">
      <c r="A59" t="s">
        <v>163</v>
      </c>
      <c r="D59" t="s">
        <v>164</v>
      </c>
      <c r="E59" t="s">
        <v>165</v>
      </c>
      <c r="F59" s="67">
        <v>36526</v>
      </c>
    </row>
    <row r="60" spans="1:6">
      <c r="E60" t="s">
        <v>166</v>
      </c>
      <c r="F60" t="s">
        <v>167</v>
      </c>
    </row>
    <row r="61" spans="1:6">
      <c r="E61" t="s">
        <v>168</v>
      </c>
      <c r="F61" t="s">
        <v>135</v>
      </c>
    </row>
    <row r="62" spans="1:6">
      <c r="E62" t="s">
        <v>166</v>
      </c>
      <c r="F62" t="s">
        <v>169</v>
      </c>
    </row>
    <row r="63" spans="1:6">
      <c r="E63" t="s">
        <v>170</v>
      </c>
      <c r="F63" s="67">
        <v>38353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PRUEBAS ESTANQUEIDAD</vt:lpstr>
      <vt:lpstr>Datos</vt:lpstr>
      <vt:lpstr>Resumen</vt:lpstr>
      <vt:lpstr>Hoja2</vt:lpstr>
      <vt:lpstr>Modificaciones Nueva IP04</vt:lpstr>
      <vt:lpstr>'PRUEBAS ESTANQUEIDAD'!Área_de_impresión</vt:lpstr>
      <vt:lpstr>TipoPrueba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jose</cp:lastModifiedBy>
  <cp:lastPrinted>2012-06-06T10:50:23Z</cp:lastPrinted>
  <dcterms:created xsi:type="dcterms:W3CDTF">2007-03-18T16:12:40Z</dcterms:created>
  <dcterms:modified xsi:type="dcterms:W3CDTF">2017-09-20T09:18:29Z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ón Presto">
    <vt:lpwstr>1.0</vt:lpwstr>
  </property>
</Properties>
</file>